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03"/>
  <workbookPr defaultThemeVersion="166925"/>
  <mc:AlternateContent xmlns:mc="http://schemas.openxmlformats.org/markup-compatibility/2006">
    <mc:Choice Requires="x15">
      <x15ac:absPath xmlns:x15ac="http://schemas.microsoft.com/office/spreadsheetml/2010/11/ac" url="https://usepa-my.sharepoint.com/personal/lee_janices_epa_gov/Documents/iAs Tox Review/Step 5_Post SAB/Dose-Response/Exposure Factors/"/>
    </mc:Choice>
  </mc:AlternateContent>
  <xr:revisionPtr revIDLastSave="700" documentId="8_{170D410B-10ED-4F87-8214-0CA64C6F0B70}" xr6:coauthVersionLast="47" xr6:coauthVersionMax="47" xr10:uidLastSave="{7546859F-C202-48B7-9C0F-05DE0A0AFDF4}"/>
  <bookViews>
    <workbookView xWindow="13500" yWindow="-16308" windowWidth="29016" windowHeight="15696" tabRatio="571" firstSheet="14" activeTab="46" xr2:uid="{1621E965-2383-4F05-A7D1-0AD3B423002B}"/>
  </bookViews>
  <sheets>
    <sheet name="Argos 2014" sheetId="53" r:id="rId1"/>
    <sheet name="Baris 2016" sheetId="54" r:id="rId2"/>
    <sheet name="Bates 1995" sheetId="55" r:id="rId3"/>
    <sheet name="Bates 2004" sheetId="56" r:id="rId4"/>
    <sheet name="Brauner 2014" sheetId="57" r:id="rId5"/>
    <sheet name="Chang 2016" sheetId="58" r:id="rId6"/>
    <sheet name="Chen 1996" sheetId="59" r:id="rId7"/>
    <sheet name="Chen 2010 - bladder" sheetId="60" r:id="rId8"/>
    <sheet name="Chen 2010 - lung" sheetId="61" r:id="rId9"/>
    <sheet name="Chen 2011" sheetId="62" r:id="rId10"/>
    <sheet name="Chen 2013" sheetId="63" r:id="rId11"/>
    <sheet name="Coronado-Gonzales 2007" sheetId="64" r:id="rId12"/>
    <sheet name="Dauphine 2013" sheetId="65" r:id="rId13"/>
    <sheet name="D'Ippoliti 2015 - lung, DCS" sheetId="67" r:id="rId14"/>
    <sheet name="Eick 2019 - Diabetes - Avg Exp" sheetId="89" r:id="rId15"/>
    <sheet name="Eick 2019 - Diabetes - Cum Exp" sheetId="88" r:id="rId16"/>
    <sheet name="Ferreccio 2000" sheetId="68" r:id="rId17"/>
    <sheet name="Grau-Perez 2017" sheetId="70" r:id="rId18"/>
    <sheet name="Garcia-Esquinas 2013" sheetId="69" r:id="rId19"/>
    <sheet name="Heck 2009" sheetId="71" r:id="rId20"/>
    <sheet name="Hsueh 1998" sheetId="72" r:id="rId21"/>
    <sheet name="Huang 2018" sheetId="73" r:id="rId22"/>
    <sheet name="James 2013" sheetId="74" r:id="rId23"/>
    <sheet name="James 2015" sheetId="75" r:id="rId24"/>
    <sheet name="Karagas 2004" sheetId="76" r:id="rId25"/>
    <sheet name="Karim 2013" sheetId="77" r:id="rId26"/>
    <sheet name="Lin 2018" sheetId="78" r:id="rId27"/>
    <sheet name="Meliker 2010" sheetId="79" r:id="rId28"/>
    <sheet name="Michaud 2004" sheetId="80" r:id="rId29"/>
    <sheet name="Monrad 2017" sheetId="81" r:id="rId30"/>
    <sheet name="Moon 2013" sheetId="82" r:id="rId31"/>
    <sheet name="Mostafa 2008" sheetId="83" r:id="rId32"/>
    <sheet name="Mostafa 2015" sheetId="36" r:id="rId33"/>
    <sheet name="Niagra 2021" sheetId="87" r:id="rId34"/>
    <sheet name="Pan 2013" sheetId="37" r:id="rId35"/>
    <sheet name="Rangel-Moreno 2022" sheetId="84" r:id="rId36"/>
    <sheet name="Sohel 2009" sheetId="38" r:id="rId37"/>
    <sheet name="Steinmaus 2003" sheetId="39" r:id="rId38"/>
    <sheet name="Steinmaus 2013 - bladder" sheetId="40" r:id="rId39"/>
    <sheet name="Steinmaus 2013 - lung" sheetId="41" r:id="rId40"/>
    <sheet name="Tseng 1997" sheetId="42" r:id="rId41"/>
    <sheet name="Wade 2009" sheetId="43" r:id="rId42"/>
    <sheet name="Wade 2015" sheetId="44" r:id="rId43"/>
    <sheet name="Wang 2007" sheetId="86" r:id="rId44"/>
    <sheet name="Wang 2009" sheetId="45" r:id="rId45"/>
    <sheet name="Wu 2006 CVD" sheetId="85" r:id="rId46"/>
    <sheet name="Wu 2010 - Taiwan NE (Coastal)" sheetId="46" r:id="rId47"/>
    <sheet name="Wu 2010 - Taiwan SW" sheetId="47" r:id="rId48"/>
    <sheet name="Wu 2013" sheetId="48" r:id="rId49"/>
  </sheets>
  <definedNames>
    <definedName name="_xlnm._FilterDatabase" localSheetId="0" hidden="1">'Argos 2014'!$A$1:$I$4</definedName>
    <definedName name="_xlnm._FilterDatabase" localSheetId="1" hidden="1">'Baris 2016'!$A$1:$I$8</definedName>
    <definedName name="_xlnm._FilterDatabase" localSheetId="2" hidden="1">'Bates 1995'!$A$1:$I$8</definedName>
    <definedName name="_xlnm._FilterDatabase" localSheetId="3" hidden="1">'Bates 2004'!$A$1:$I$6</definedName>
    <definedName name="_xlnm._FilterDatabase" localSheetId="4" hidden="1">'Brauner 2014'!$A$1:$I$6</definedName>
    <definedName name="_xlnm._FilterDatabase" localSheetId="5" hidden="1">'Chang 2016'!$A$1:$I$4</definedName>
    <definedName name="_xlnm._FilterDatabase" localSheetId="6" hidden="1">'Chen 1996'!$A$1:$I$7</definedName>
    <definedName name="_xlnm._FilterDatabase" localSheetId="7" hidden="1">'Chen 2010 - bladder'!$A$1:$I$7</definedName>
    <definedName name="_xlnm._FilterDatabase" localSheetId="8" hidden="1">'Chen 2010 - lung'!$A$1:$I$7</definedName>
    <definedName name="_xlnm._FilterDatabase" localSheetId="9" hidden="1">'Chen 2011'!$A$1:$I$4</definedName>
    <definedName name="_xlnm._FilterDatabase" localSheetId="10" hidden="1">'Chen 2013'!$A$1:$I$6</definedName>
    <definedName name="_xlnm._FilterDatabase" localSheetId="11" hidden="1">'Coronado-Gonzales 2007'!$A$1:$I$4</definedName>
    <definedName name="_xlnm._FilterDatabase" localSheetId="12" hidden="1">'Dauphine 2013'!$A$1:$I$7</definedName>
    <definedName name="_xlnm._FilterDatabase" localSheetId="14" hidden="1">'Eick 2019 - Diabetes - Avg Exp'!$A$1:$I$8</definedName>
    <definedName name="_xlnm._FilterDatabase" localSheetId="13" hidden="1">'D''Ippoliti 2015 - lung, DCS'!$A$1:$I$8</definedName>
    <definedName name="_xlnm._FilterDatabase" localSheetId="15" hidden="1">'Eick 2019 - Diabetes - Cum Exp'!$A$1:$I$8</definedName>
    <definedName name="_xlnm._FilterDatabase" localSheetId="16" hidden="1">'Ferreccio 2000'!$A$1:$I$6</definedName>
    <definedName name="_xlnm._FilterDatabase" localSheetId="18" hidden="1">'Garcia-Esquinas 2013'!$A$1:$I$4</definedName>
    <definedName name="_xlnm._FilterDatabase" localSheetId="17" hidden="1">'Grau-Perez 2017'!$A$1:$I$4</definedName>
    <definedName name="_xlnm._FilterDatabase" localSheetId="19" hidden="1">'Heck 2009'!$A$1:$I$6</definedName>
    <definedName name="_xlnm._FilterDatabase" localSheetId="20" hidden="1">'Hsueh 1998'!$A$1:$I$7</definedName>
    <definedName name="_xlnm._FilterDatabase" localSheetId="21" hidden="1">'Huang 2018'!$A$1:$I$4</definedName>
    <definedName name="_xlnm._FilterDatabase" localSheetId="22" hidden="1">'James 2013'!$A$1:$I$7</definedName>
    <definedName name="_xlnm._FilterDatabase" localSheetId="23" hidden="1">'James 2015'!$A$1:$I$6</definedName>
    <definedName name="_xlnm._FilterDatabase" localSheetId="24" hidden="1">'Karagas 2004'!$A$1:$I$6</definedName>
    <definedName name="_xlnm._FilterDatabase" localSheetId="25" hidden="1">'Karim 2013'!$A$1:$I$6</definedName>
    <definedName name="_xlnm._FilterDatabase" localSheetId="26" hidden="1">'Lin 2018'!$A$1:$I$4</definedName>
    <definedName name="_xlnm._FilterDatabase" localSheetId="27" hidden="1">'Meliker 2010'!$A$1:$I$8</definedName>
    <definedName name="_xlnm._FilterDatabase" localSheetId="28" hidden="1">'Michaud 2004'!$A$1:$I$6</definedName>
    <definedName name="_xlnm._FilterDatabase" localSheetId="29" hidden="1">'Monrad 2017'!$A$1:$I$6</definedName>
    <definedName name="_xlnm._FilterDatabase" localSheetId="30" hidden="1">'Moon 2013'!$A$1:$H$4</definedName>
    <definedName name="_xlnm._FilterDatabase" localSheetId="31" hidden="1">'Mostafa 2008'!$A$1:$I$6</definedName>
    <definedName name="_xlnm._FilterDatabase" localSheetId="32" hidden="1">'Mostafa 2015'!$A$1:$I$6</definedName>
    <definedName name="_xlnm._FilterDatabase" localSheetId="33" hidden="1">'Niagra 2021'!$A$1:$H$4</definedName>
    <definedName name="_xlnm._FilterDatabase" localSheetId="34" hidden="1">'Pan 2013'!$A$1:$I$6</definedName>
    <definedName name="_xlnm._FilterDatabase" localSheetId="35" hidden="1">'Rangel-Moreno 2022'!$A$1:$I$4</definedName>
    <definedName name="_xlnm._FilterDatabase" localSheetId="36" hidden="1">'Sohel 2009'!$A$1:$I$6</definedName>
    <definedName name="_xlnm._FilterDatabase" localSheetId="37" hidden="1">'Steinmaus 2003'!$A$1:$I$8</definedName>
    <definedName name="_xlnm._FilterDatabase" localSheetId="38" hidden="1">'Steinmaus 2013 - bladder'!$A$1:$I$8</definedName>
    <definedName name="_xlnm._FilterDatabase" localSheetId="39" hidden="1">'Steinmaus 2013 - lung'!$A$1:$I$8</definedName>
    <definedName name="_xlnm._FilterDatabase" localSheetId="40" hidden="1">'Tseng 1997'!$A$1:$I$7</definedName>
    <definedName name="_xlnm._FilterDatabase" localSheetId="41" hidden="1">'Wade 2009'!$A$1:$I$6</definedName>
    <definedName name="_xlnm._FilterDatabase" localSheetId="42" hidden="1">'Wade 2015'!$A$1:$I$6</definedName>
    <definedName name="_xlnm._FilterDatabase" localSheetId="43" hidden="1">'Wang 2007'!$A$1:$I$7</definedName>
    <definedName name="_xlnm._FilterDatabase" localSheetId="44" hidden="1">'Wang 2009'!$A$1:$I$7</definedName>
    <definedName name="_xlnm._FilterDatabase" localSheetId="45" hidden="1">'Wu 2006 CVD'!$A$1:$I$7</definedName>
    <definedName name="_xlnm._FilterDatabase" localSheetId="46" hidden="1">'Wu 2010 - Taiwan NE (Coastal)'!$A$1:$I$6</definedName>
    <definedName name="_xlnm._FilterDatabase" localSheetId="47" hidden="1">'Wu 2010 - Taiwan SW'!$A$1:$I$6</definedName>
    <definedName name="_xlnm._FilterDatabase" localSheetId="48" hidden="1">'Wu 2013'!$A$1:$I$4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89" l="1"/>
  <c r="E14" i="89"/>
  <c r="E13" i="89"/>
  <c r="E12" i="89"/>
  <c r="P25" i="88"/>
  <c r="P24" i="88"/>
  <c r="P23" i="88"/>
  <c r="P22" i="88"/>
  <c r="P28" i="88"/>
  <c r="P18" i="88"/>
  <c r="P15" i="88"/>
  <c r="P13" i="88"/>
  <c r="P12" i="88"/>
  <c r="P14" i="88"/>
  <c r="L21" i="88"/>
  <c r="L20" i="88"/>
  <c r="L19" i="88"/>
  <c r="L18" i="88"/>
  <c r="L17" i="88"/>
  <c r="L16" i="88"/>
  <c r="C16" i="88"/>
  <c r="B16" i="88"/>
  <c r="L15" i="88"/>
  <c r="L14" i="88"/>
  <c r="H14" i="88"/>
  <c r="L13" i="88"/>
  <c r="H13" i="88"/>
  <c r="H24" i="88"/>
  <c r="H21" i="88" s="1"/>
  <c r="L12" i="88"/>
  <c r="H12" i="88"/>
  <c r="L11" i="88"/>
  <c r="H11" i="88"/>
  <c r="H25" i="88" s="1"/>
  <c r="D11" i="88"/>
  <c r="C12" i="40"/>
  <c r="B12" i="40"/>
  <c r="B17" i="86"/>
  <c r="C12" i="88" l="1"/>
  <c r="D12" i="88" s="1"/>
  <c r="B12" i="88"/>
  <c r="B17" i="85"/>
  <c r="B21" i="46" l="1"/>
  <c r="D11" i="46"/>
  <c r="D10" i="46"/>
  <c r="D9" i="46"/>
  <c r="D12" i="46" l="1"/>
  <c r="E11" i="46" s="1"/>
  <c r="E10" i="46" l="1"/>
  <c r="E9" i="46"/>
  <c r="B16" i="44"/>
  <c r="E12" i="46" l="1"/>
  <c r="B16" i="43"/>
  <c r="B28" i="42" l="1"/>
  <c r="C25" i="42" s="1"/>
  <c r="C20" i="42"/>
  <c r="D20" i="42" s="1"/>
  <c r="C19" i="42"/>
  <c r="D19" i="42" s="1"/>
  <c r="C18" i="42"/>
  <c r="D18" i="42" s="1"/>
  <c r="C17" i="42"/>
  <c r="D17" i="42" s="1"/>
  <c r="E10" i="38"/>
  <c r="E11" i="38"/>
  <c r="E12" i="38"/>
  <c r="E13" i="38"/>
  <c r="E9" i="38"/>
  <c r="D11" i="38"/>
  <c r="D12" i="38"/>
  <c r="D13" i="38"/>
  <c r="D10" i="38"/>
  <c r="D9" i="38"/>
  <c r="C24" i="42" l="1"/>
  <c r="C27" i="42"/>
  <c r="C26" i="42"/>
  <c r="D21" i="42"/>
  <c r="C28" i="42" l="1"/>
  <c r="D30" i="38"/>
  <c r="D29" i="38"/>
  <c r="D28" i="38"/>
  <c r="D27" i="38"/>
  <c r="D26" i="38"/>
  <c r="D25" i="38"/>
  <c r="D24" i="38"/>
  <c r="D23" i="38"/>
  <c r="D22" i="38"/>
  <c r="D21" i="38"/>
  <c r="D14" i="38"/>
  <c r="L9" i="38"/>
  <c r="D32" i="38" l="1"/>
  <c r="E14" i="38"/>
  <c r="H13" i="38" l="1"/>
  <c r="H12" i="38"/>
  <c r="H10" i="38"/>
  <c r="H11" i="38"/>
  <c r="H9" i="38"/>
  <c r="D30" i="77"/>
  <c r="D29" i="77"/>
  <c r="D28" i="77"/>
  <c r="D27" i="77"/>
  <c r="D26" i="77"/>
  <c r="D25" i="77"/>
  <c r="D24" i="77"/>
  <c r="D23" i="77"/>
  <c r="D22" i="77"/>
  <c r="D21" i="77"/>
  <c r="D16" i="77"/>
  <c r="H15" i="77"/>
  <c r="H14" i="77"/>
  <c r="H16" i="77" s="1"/>
  <c r="D11" i="77"/>
  <c r="H10" i="77"/>
  <c r="H9" i="77"/>
  <c r="H11" i="77" s="1"/>
  <c r="H14" i="38" l="1"/>
  <c r="D32" i="77"/>
  <c r="C19" i="72"/>
  <c r="D19" i="72" s="1"/>
  <c r="C18" i="72"/>
  <c r="D18" i="72" s="1"/>
  <c r="C17" i="72"/>
  <c r="D17" i="72" s="1"/>
  <c r="D20" i="72" l="1"/>
  <c r="G20" i="37" l="1"/>
  <c r="G19" i="37"/>
  <c r="G18" i="37"/>
  <c r="G17" i="37"/>
  <c r="G16" i="37"/>
  <c r="G15" i="37"/>
  <c r="G14" i="37"/>
  <c r="G13" i="37"/>
  <c r="G12" i="37"/>
  <c r="G11" i="37"/>
  <c r="G20" i="36"/>
  <c r="G19" i="36"/>
  <c r="G18" i="36"/>
  <c r="G17" i="36"/>
  <c r="G16" i="36"/>
  <c r="G15" i="36"/>
  <c r="G14" i="36"/>
  <c r="G13" i="36"/>
  <c r="G12" i="36"/>
  <c r="G11" i="36"/>
  <c r="D20" i="63"/>
  <c r="D19" i="63"/>
  <c r="D18" i="63"/>
  <c r="D17" i="63"/>
  <c r="D16" i="63"/>
  <c r="D15" i="63"/>
  <c r="D14" i="63"/>
  <c r="D13" i="63"/>
  <c r="D12" i="63"/>
  <c r="D11" i="63"/>
  <c r="D22" i="63" l="1"/>
  <c r="G22" i="37"/>
  <c r="G22" i="36"/>
  <c r="D37" i="59"/>
  <c r="D28" i="59"/>
  <c r="D27" i="59"/>
  <c r="D26" i="59"/>
  <c r="D25" i="59"/>
  <c r="C20" i="59"/>
  <c r="D20" i="59" s="1"/>
  <c r="C19" i="59"/>
  <c r="D19" i="59" s="1"/>
  <c r="C18" i="59"/>
  <c r="D18" i="59" s="1"/>
  <c r="D29" i="59" l="1"/>
  <c r="E25" i="59" s="1"/>
  <c r="D21" i="59"/>
  <c r="P28" i="40"/>
  <c r="L21" i="40"/>
  <c r="L20" i="40"/>
  <c r="L19" i="40"/>
  <c r="L18" i="40"/>
  <c r="L17" i="40"/>
  <c r="L16" i="40"/>
  <c r="C16" i="40"/>
  <c r="B16" i="40"/>
  <c r="P15" i="40"/>
  <c r="L15" i="40"/>
  <c r="P14" i="40"/>
  <c r="L14" i="40"/>
  <c r="H14" i="40"/>
  <c r="P13" i="40"/>
  <c r="L13" i="40"/>
  <c r="H13" i="40"/>
  <c r="P12" i="40"/>
  <c r="L12" i="40"/>
  <c r="H12" i="40"/>
  <c r="D12" i="40"/>
  <c r="L11" i="40"/>
  <c r="H11" i="40"/>
  <c r="D11" i="40"/>
  <c r="E26" i="59" l="1"/>
  <c r="E27" i="59"/>
  <c r="E28" i="59"/>
  <c r="P18" i="40"/>
  <c r="H24" i="40" s="1"/>
  <c r="H21" i="40" s="1"/>
  <c r="H25" i="40" s="1"/>
  <c r="E29" i="59" l="1"/>
  <c r="M21" i="79"/>
  <c r="M20" i="79"/>
  <c r="M19" i="79"/>
  <c r="Q18" i="79"/>
  <c r="H24" i="79" s="1"/>
  <c r="M18" i="79"/>
  <c r="M17" i="79"/>
  <c r="M16" i="79"/>
  <c r="C16" i="79"/>
  <c r="B16" i="79"/>
  <c r="M15" i="79"/>
  <c r="M14" i="79"/>
  <c r="H14" i="79"/>
  <c r="M13" i="79"/>
  <c r="H13" i="79"/>
  <c r="M12" i="79"/>
  <c r="H12" i="79"/>
  <c r="M11" i="79"/>
  <c r="H11" i="79"/>
  <c r="D11" i="79"/>
  <c r="H21" i="79" l="1"/>
  <c r="H25" i="79" s="1"/>
  <c r="C12" i="79" l="1"/>
  <c r="D12" i="79" s="1"/>
  <c r="B12" i="79"/>
  <c r="B17" i="61"/>
  <c r="B17" i="60"/>
  <c r="C20" i="56" l="1"/>
  <c r="C13" i="56"/>
  <c r="C12" i="56"/>
  <c r="C11" i="56"/>
  <c r="C10" i="56"/>
  <c r="C25" i="56" l="1"/>
  <c r="D30" i="56" s="1"/>
  <c r="F30" i="56" s="1"/>
  <c r="E23" i="56"/>
  <c r="D29" i="56" l="1"/>
  <c r="A32" i="54"/>
  <c r="F27" i="54"/>
  <c r="I37" i="54" s="1"/>
  <c r="D27" i="54"/>
  <c r="C37" i="54" s="1"/>
  <c r="C27" i="54"/>
  <c r="H27" i="54" s="1"/>
  <c r="A37" i="54" s="1"/>
  <c r="F26" i="54"/>
  <c r="E36" i="54" s="1"/>
  <c r="D26" i="54"/>
  <c r="C36" i="54" s="1"/>
  <c r="C26" i="54"/>
  <c r="H26" i="54" s="1"/>
  <c r="A36" i="54" s="1"/>
  <c r="D25" i="54"/>
  <c r="I25" i="54" s="1"/>
  <c r="B35" i="54" s="1"/>
  <c r="C25" i="54"/>
  <c r="H25" i="54" s="1"/>
  <c r="A35" i="54" s="1"/>
  <c r="D24" i="54"/>
  <c r="I24" i="54" s="1"/>
  <c r="B34" i="54" s="1"/>
  <c r="C24" i="54"/>
  <c r="H24" i="54" s="1"/>
  <c r="A34" i="54" s="1"/>
  <c r="D23" i="54"/>
  <c r="I23" i="54" s="1"/>
  <c r="B33" i="54" s="1"/>
  <c r="C23" i="54"/>
  <c r="H23" i="54" s="1"/>
  <c r="A33" i="54" s="1"/>
  <c r="D22" i="54"/>
  <c r="I22" i="54" s="1"/>
  <c r="B32" i="54" s="1"/>
  <c r="C22" i="54"/>
  <c r="E18" i="54"/>
  <c r="D18" i="54"/>
  <c r="H15" i="54" s="1"/>
  <c r="C18" i="54"/>
  <c r="F15" i="54"/>
  <c r="F25" i="54" s="1"/>
  <c r="F14" i="54"/>
  <c r="F24" i="54" s="1"/>
  <c r="F13" i="54"/>
  <c r="F23" i="54" s="1"/>
  <c r="F12" i="54"/>
  <c r="F18" i="54" l="1"/>
  <c r="G15" i="54" s="1"/>
  <c r="C35" i="54"/>
  <c r="E35" i="54" s="1"/>
  <c r="I26" i="54"/>
  <c r="B36" i="54" s="1"/>
  <c r="C33" i="54"/>
  <c r="E33" i="54" s="1"/>
  <c r="C32" i="54"/>
  <c r="F22" i="54"/>
  <c r="I27" i="54"/>
  <c r="B37" i="54" s="1"/>
  <c r="C34" i="54"/>
  <c r="E34" i="54" s="1"/>
  <c r="I36" i="54"/>
  <c r="H13" i="54"/>
  <c r="H14" i="54"/>
  <c r="E37" i="54"/>
  <c r="H12" i="54"/>
  <c r="G14" i="54" l="1"/>
  <c r="G12" i="54"/>
  <c r="G13" i="54"/>
  <c r="I42" i="54"/>
  <c r="L40" i="54" s="1"/>
  <c r="G27" i="54"/>
  <c r="E32" i="54"/>
  <c r="E40" i="54" s="1"/>
  <c r="F28" i="54"/>
  <c r="G22" i="54"/>
  <c r="I32" i="54" s="1"/>
  <c r="G26" i="54"/>
  <c r="D37" i="54"/>
  <c r="C40" i="54"/>
  <c r="D32" i="54"/>
  <c r="D33" i="54"/>
  <c r="D36" i="54"/>
  <c r="H19" i="54"/>
  <c r="G23" i="54"/>
  <c r="I33" i="54" s="1"/>
  <c r="G25" i="54"/>
  <c r="I35" i="54" s="1"/>
  <c r="D35" i="54"/>
  <c r="G24" i="54"/>
  <c r="I34" i="54" s="1"/>
  <c r="D34" i="54"/>
  <c r="G19" i="54" l="1"/>
  <c r="D40" i="54"/>
  <c r="I40" i="54"/>
  <c r="K40" i="54" s="1"/>
  <c r="M40" i="54" s="1"/>
  <c r="C10" i="71" l="1"/>
  <c r="D13" i="71"/>
  <c r="D11" i="71"/>
  <c r="D12" i="71"/>
  <c r="C12" i="71"/>
  <c r="C11" i="71"/>
  <c r="C13" i="71"/>
  <c r="D10" i="71"/>
  <c r="P28" i="41" l="1"/>
  <c r="L21" i="41"/>
  <c r="L20" i="41"/>
  <c r="L19" i="41"/>
  <c r="L18" i="41"/>
  <c r="L17" i="41"/>
  <c r="L16" i="41"/>
  <c r="C16" i="41"/>
  <c r="B16" i="41"/>
  <c r="P15" i="41"/>
  <c r="L15" i="41"/>
  <c r="P14" i="41"/>
  <c r="L14" i="41"/>
  <c r="H14" i="41"/>
  <c r="P13" i="41"/>
  <c r="L13" i="41"/>
  <c r="H13" i="41"/>
  <c r="P12" i="41"/>
  <c r="L12" i="41"/>
  <c r="H12" i="41"/>
  <c r="L11" i="41"/>
  <c r="H11" i="41"/>
  <c r="D11" i="41"/>
  <c r="P18" i="41" l="1"/>
  <c r="H24" i="41" s="1"/>
  <c r="H21" i="41" s="1"/>
  <c r="H25" i="41" s="1"/>
  <c r="C12" i="41" l="1"/>
  <c r="D12" i="41" s="1"/>
  <c r="B12" i="41"/>
  <c r="G21" i="83" l="1"/>
  <c r="G20" i="83"/>
  <c r="G19" i="83"/>
  <c r="G18" i="83"/>
  <c r="G17" i="83"/>
  <c r="G16" i="83"/>
  <c r="G15" i="83"/>
  <c r="G14" i="83"/>
  <c r="G13" i="83"/>
  <c r="G12" i="83"/>
  <c r="G23" i="83" l="1"/>
  <c r="E18" i="8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Hobbie, Kevin</author>
  </authors>
  <commentList>
    <comment ref="G10" authorId="0" shapeId="0" xr:uid="{CF71F0D2-9562-4FA1-B00B-E1580EA45C12}">
      <text>
        <r>
          <rPr>
            <b/>
            <sz val="9"/>
            <color indexed="81"/>
            <rFont val="Tahoma"/>
            <family val="2"/>
          </rPr>
          <t>Hobbie, Kevin:</t>
        </r>
        <r>
          <rPr>
            <sz val="9"/>
            <color indexed="81"/>
            <rFont val="Tahoma"/>
            <family val="2"/>
          </rPr>
          <t xml:space="preserve">
Do not use for this study since units are ug/d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Hobbie, Kevin</author>
  </authors>
  <commentList>
    <comment ref="F10" authorId="0" shapeId="0" xr:uid="{AB3D1381-FEA0-41C3-9F29-F76B4B97FF03}">
      <text>
        <r>
          <rPr>
            <b/>
            <sz val="9"/>
            <color indexed="81"/>
            <rFont val="Tahoma"/>
            <family val="2"/>
          </rPr>
          <t>Hobbie, Kevin:</t>
        </r>
        <r>
          <rPr>
            <sz val="9"/>
            <color indexed="81"/>
            <rFont val="Tahoma"/>
            <family val="2"/>
          </rPr>
          <t xml:space="preserve">
Do not use for this study since units are ug/d</t>
        </r>
      </text>
    </comment>
    <comment ref="G10" authorId="0" shapeId="0" xr:uid="{E43ADD47-82B8-47F3-845B-351A2A2629A9}">
      <text>
        <r>
          <rPr>
            <b/>
            <sz val="9"/>
            <color indexed="81"/>
            <rFont val="Tahoma"/>
            <family val="2"/>
          </rPr>
          <t>Hobbie, Kevin:</t>
        </r>
        <r>
          <rPr>
            <sz val="9"/>
            <color indexed="81"/>
            <rFont val="Tahoma"/>
            <family val="2"/>
          </rPr>
          <t xml:space="preserve">
Do not use for this study since units are ug/d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Hobbie, Kevin</author>
  </authors>
  <commentList>
    <comment ref="G10" authorId="0" shapeId="0" xr:uid="{2E2400B3-DF1F-4AD0-95CB-D0387C47C0DC}">
      <text>
        <r>
          <rPr>
            <b/>
            <sz val="9"/>
            <color indexed="81"/>
            <rFont val="Tahoma"/>
            <family val="2"/>
          </rPr>
          <t>Hobbie, Kevin:</t>
        </r>
        <r>
          <rPr>
            <sz val="9"/>
            <color indexed="81"/>
            <rFont val="Tahoma"/>
            <family val="2"/>
          </rPr>
          <t xml:space="preserve">
Do not use for this study since units are ug/d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Hobbie, Kevin</author>
  </authors>
  <commentList>
    <comment ref="G10" authorId="0" shapeId="0" xr:uid="{00000000-0006-0000-0000-000001000000}">
      <text>
        <r>
          <rPr>
            <b/>
            <sz val="9"/>
            <color indexed="81"/>
            <rFont val="Tahoma"/>
            <family val="2"/>
          </rPr>
          <t>Hobbie, Kevin:</t>
        </r>
        <r>
          <rPr>
            <sz val="9"/>
            <color indexed="81"/>
            <rFont val="Tahoma"/>
            <family val="2"/>
          </rPr>
          <t xml:space="preserve">
Do not use for this study since units are ug/d</t>
        </r>
      </text>
    </comment>
  </commentList>
</comments>
</file>

<file path=xl/sharedStrings.xml><?xml version="1.0" encoding="utf-8"?>
<sst xmlns="http://schemas.openxmlformats.org/spreadsheetml/2006/main" count="3229" uniqueCount="547">
  <si>
    <t>Exposure metric</t>
  </si>
  <si>
    <t>Exposure Factor</t>
  </si>
  <si>
    <t>Exposure Factor Detail</t>
  </si>
  <si>
    <t>Value</t>
  </si>
  <si>
    <t>Study</t>
  </si>
  <si>
    <t>Study Population</t>
  </si>
  <si>
    <t>Endpoint</t>
  </si>
  <si>
    <t>Justification</t>
  </si>
  <si>
    <t>Spreadsheet Source</t>
  </si>
  <si>
    <t>Comments</t>
  </si>
  <si>
    <t>Urine, ug iAs/g creatinine</t>
  </si>
  <si>
    <t>AGE</t>
  </si>
  <si>
    <t>Average age of study participants (yrs)</t>
  </si>
  <si>
    <t>37.6 ± 9.35</t>
  </si>
  <si>
    <t>Argos 2014</t>
  </si>
  <si>
    <t>Bangladesh</t>
  </si>
  <si>
    <t>Lung cancer</t>
  </si>
  <si>
    <t>Average age calculated as mean of Male and Female mean age from Ahsan 2006 on Table 1. (Table 1 not included in my conversion worksheet).  Assumed to be normally distributed for MCMC. Minimum age set to 18 for simulations per Table 1 of Argos 2014.</t>
  </si>
  <si>
    <t>Argos_2014_Urine-02-10-21.xlsm</t>
  </si>
  <si>
    <t>BMI</t>
  </si>
  <si>
    <t>Body Mass Index (kg/m2)</t>
  </si>
  <si>
    <t>19.7 ± 3.15</t>
  </si>
  <si>
    <t>Mean BMI calculated as mean of Male and Female BMI from Ahsan 2006 presented in table 1. Assumed to be log normally distributed for the MCMC.</t>
  </si>
  <si>
    <t>BW</t>
  </si>
  <si>
    <t>Body weight (kg)</t>
  </si>
  <si>
    <t>62.5 ± 8.8</t>
  </si>
  <si>
    <t>Average body weight based on best guess, these values were used in other populations with 36 kg being a reasonably low expected BW. Assumed to be lognormally distributed for the MCMC.</t>
  </si>
  <si>
    <t>Cumulative (mg) &amp; ug/day intake</t>
  </si>
  <si>
    <t>AAD</t>
  </si>
  <si>
    <t>Average age at diagnosis (yrs)</t>
  </si>
  <si>
    <t>Baris 2016</t>
  </si>
  <si>
    <t>US-Northeastern</t>
  </si>
  <si>
    <t>Bladder Cancer</t>
  </si>
  <si>
    <t xml:space="preserve">Average age at diagnosis was estimated from age frequencies reported in Baris et al. (2016) supplemental material Table 1 using log-likelihood solver functions (see below).  </t>
  </si>
  <si>
    <t xml:space="preserve">Baris2016 spreadsheets for mg and ugperday metrics, lagged and unlagged </t>
  </si>
  <si>
    <t>ADWE</t>
  </si>
  <si>
    <t>Assumed avg duration of well exposure (yrs)</t>
  </si>
  <si>
    <t>Duration of exposure is assumed to be lifetime as arsenic levels in wells of this area have not been mitigated and author estimates of ug/day are for a lifetime of exposure with participants having an average age as calcluated for AGE in the Baris2016 spreadsheet. For MC analysis (see "Doses" tab) ADWE/AAD was restricted to be &lt;= 1.</t>
  </si>
  <si>
    <t>65 ± 3.7</t>
  </si>
  <si>
    <t>Average age of study populations estimated from age frequencies reported in Baris et al. (2016) supplemental material Table 1 using log-likelihood solver functions shown in Baris2016 spreadsheet. Assumed to be normally distributed for MCMC.</t>
  </si>
  <si>
    <t xml:space="preserve">Baris2016 spreadsheets for mg metric, lagged and unlagged </t>
  </si>
  <si>
    <t>68 ± 10</t>
  </si>
  <si>
    <t>Body weight based on US estimates from Exposure Factors Handbook for the average age of the study population. Assumed to be lognormally distributed with lowest reasonable BW of 38kg.</t>
  </si>
  <si>
    <t>DI</t>
  </si>
  <si>
    <t>Dietary intake (ug/kg-day)</t>
  </si>
  <si>
    <t>0.05 ± 0.09</t>
  </si>
  <si>
    <t>Based on Xue 2010 all ages iAS dietary consumption in the US. DI is assumed to be lognormally distributed for the purposes of the MC analysis.</t>
  </si>
  <si>
    <t>LE</t>
  </si>
  <si>
    <t>Low (e.g., tap water) exposure (ug/day)</t>
  </si>
  <si>
    <t>2.5 ± 3.3</t>
  </si>
  <si>
    <r>
      <t xml:space="preserve">Mendez et al. (2016) reports a median iAs groundwater level in US counties of 1.5, with an IQR of 0.9-3.5. From this we estimate a mean </t>
    </r>
    <r>
      <rPr>
        <sz val="11"/>
        <color theme="1"/>
        <rFont val="Calibri"/>
        <family val="2"/>
      </rPr>
      <t>±</t>
    </r>
    <r>
      <rPr>
        <sz val="13.2"/>
        <color theme="1"/>
        <rFont val="Calibri"/>
        <family val="2"/>
      </rPr>
      <t xml:space="preserve"> </t>
    </r>
    <r>
      <rPr>
        <sz val="11"/>
        <color theme="1"/>
        <rFont val="Calibri"/>
        <family val="2"/>
      </rPr>
      <t>standard deviation on the normal scale c</t>
    </r>
    <r>
      <rPr>
        <sz val="11"/>
        <color theme="1"/>
        <rFont val="Calibri"/>
        <family val="2"/>
        <scheme val="minor"/>
      </rPr>
      <t>orresponding to mean US county average arsenic level USGS measurements of drinking water sources.  (Mendez et al. 2016). LE is meant to represent the exposure levels for undocumented periods of the study. LE is assumed to be lognormally distributed for the purposes of the MC analysis.</t>
    </r>
  </si>
  <si>
    <t>WCR</t>
  </si>
  <si>
    <t>Water consumption rate (ml/kg-day)</t>
  </si>
  <si>
    <t>10.7 ± 63</t>
  </si>
  <si>
    <t xml:space="preserve">For U.S. and some European studies that did not provide an indication of study-specific WCR, EPA used the mL/kg-day WCR for all ages from Table 3-13 Two-Day Average per Capita Estimates of Combined Direct and Indirect Water Ingestion Based on National Health and Nutrition Examination Survey (NHANES) 2005−2010: Community Water (mL/kg-day) of the U.S. EPA Exposure Factors Handbook {U.S. EPA, 2019, 7267482}. The consumption rate reported for all ages of the surveyed U.S population (24,673) is 10.7 ml/kg-day and SE of 0.4 ml/kg-day. Though a natural scale mean and SD is entered here, WCR is assumed to be lognormally distributed for purposes of the MC analysis (see "Doses" tabs in study workbook). </t>
  </si>
  <si>
    <t xml:space="preserve">From Supplemental Material Table 1 of Baris et al. (2016) </t>
  </si>
  <si>
    <t>Low</t>
  </si>
  <si>
    <t>High</t>
  </si>
  <si>
    <t>Estimated Avg Age</t>
  </si>
  <si>
    <t>Cases</t>
  </si>
  <si>
    <t>Controls</t>
  </si>
  <si>
    <t>Total</t>
  </si>
  <si>
    <t>weighted avg-Total</t>
  </si>
  <si>
    <t>weighted avg-Cases</t>
  </si>
  <si>
    <t>Totals</t>
  </si>
  <si>
    <t>Means</t>
  </si>
  <si>
    <t>Normal mean and std</t>
  </si>
  <si>
    <t>exposure ranges</t>
  </si>
  <si>
    <t>N's</t>
  </si>
  <si>
    <t>obs p</t>
  </si>
  <si>
    <t>Cutpoints</t>
  </si>
  <si>
    <t>mu L for Total</t>
  </si>
  <si>
    <t>sigma L for Total</t>
  </si>
  <si>
    <t>mu L for Cases</t>
  </si>
  <si>
    <t>sigma L for Cases</t>
  </si>
  <si>
    <t>N=</t>
  </si>
  <si>
    <t>T</t>
  </si>
  <si>
    <t>Note: First, enter N="T" (for Total) or "C" (for Cases) above. Use Solver to maximize E72 by changing B54:B55 (for N's=Totals) or B56:B57 (For N's=Cases); constrain sigma L (std) to be positive if need be.</t>
  </si>
  <si>
    <t>fitted p</t>
  </si>
  <si>
    <t>predicted N's</t>
  </si>
  <si>
    <t>LOG-LIKELIHOOD</t>
  </si>
  <si>
    <t>max LOG-LIKELIHOOD</t>
  </si>
  <si>
    <t>total LOG-LIKELIHOOD</t>
  </si>
  <si>
    <t>chi^2</t>
  </si>
  <si>
    <t>df</t>
  </si>
  <si>
    <t>#parms = degress of freedom</t>
  </si>
  <si>
    <t>(#groups -1) = degrees of freedom</t>
  </si>
  <si>
    <t>Cumulative (mg)</t>
  </si>
  <si>
    <t>Bates 1995</t>
  </si>
  <si>
    <t>US-Western (Utah)</t>
  </si>
  <si>
    <t>Average age at diagnosis based on average age of cases reported in table 1 of Bates et al. (1995) paper.</t>
  </si>
  <si>
    <t>Bates1995_CE5-Ln_mg-01-11-21.xlsx</t>
  </si>
  <si>
    <t>This group had cumulative exposures calculated based on residential history and presented the average residential history for controls in table 1 of Bates et al. (1995) paper.</t>
  </si>
  <si>
    <t>61.1 ± 13.1</t>
  </si>
  <si>
    <t>Average age of controls presented in Table 1 for controls. Assumed to be lognormally distributed for MCMC.</t>
  </si>
  <si>
    <t>Low (e.g., tap water) exposure (ug/L)</t>
  </si>
  <si>
    <t>DW level (ug/L)</t>
  </si>
  <si>
    <t>Bates 2004</t>
  </si>
  <si>
    <t>Argentina</t>
  </si>
  <si>
    <t>Average age at diagnosis was found in Table 1 of paper; see average age of cases.</t>
  </si>
  <si>
    <t>Bates2004_DW-01-12-21.xlsx</t>
  </si>
  <si>
    <t>Average duration of drinking well water is reported in Table 1 of paper.</t>
  </si>
  <si>
    <t>0.1 ± 0.3</t>
  </si>
  <si>
    <t>Obtained from analysis of diet contributions (see below). DI is assumed to be normally distributed for the purposes of the MC analysis.</t>
  </si>
  <si>
    <t>5 ± 3.3</t>
  </si>
  <si>
    <t>The authors assumed that arsenic concentrations in water consumed outside the study counties was negligible. However, given the high prevelance of well water versus public water in the area, a slightly higher value that is still below the 10 ug/L standard is assumed in this analysis. LE is meant to represent the exposure levels for undocumented periods of the study. LE is assumed to be lognormally distributed for the purposes of the MC analysis.</t>
  </si>
  <si>
    <t>33.2 ± 15.7</t>
  </si>
  <si>
    <t xml:space="preserve">Taken from Table 1 of paper and calculated against average weight of controls based on NHANES II body weights (see below), WCR is assumed to be lognormally distributed for purposes of the MC analysis (see "Doses" tabs in study conversion workbook). </t>
  </si>
  <si>
    <t>Average Body Weight:</t>
  </si>
  <si>
    <t>Duration (Years)</t>
  </si>
  <si>
    <t>BW, kg</t>
  </si>
  <si>
    <t>diet (ug/kg-d)</t>
  </si>
  <si>
    <t>&lt; 1 Month</t>
  </si>
  <si>
    <t>1-3 Months</t>
  </si>
  <si>
    <t>3-6 Months</t>
  </si>
  <si>
    <t>6-12 Months</t>
  </si>
  <si>
    <t>1-2 Years</t>
  </si>
  <si>
    <t>2-3 Years</t>
  </si>
  <si>
    <t>3-&lt;6 Years</t>
  </si>
  <si>
    <t>6-&lt;11 Years</t>
  </si>
  <si>
    <t>11-&lt;16 Years</t>
  </si>
  <si>
    <t>16-&lt;21 Years</t>
  </si>
  <si>
    <t>&gt;= 21 Years</t>
  </si>
  <si>
    <t>Average Age Ctrls</t>
  </si>
  <si>
    <t>Average Dietary</t>
  </si>
  <si>
    <t>Average BW (kg)</t>
  </si>
  <si>
    <t>Average Daily  Residential water Intake (From table 1)</t>
  </si>
  <si>
    <t>mean</t>
  </si>
  <si>
    <t>L/d</t>
  </si>
  <si>
    <t>mL-kg/d</t>
  </si>
  <si>
    <t>3xSD</t>
  </si>
  <si>
    <t>SD</t>
  </si>
  <si>
    <t>Brauner 2014</t>
  </si>
  <si>
    <t>Denmark</t>
  </si>
  <si>
    <t>Diabetes</t>
  </si>
  <si>
    <t>Age reported in Table 1</t>
  </si>
  <si>
    <t>no spreadsheet created yet</t>
  </si>
  <si>
    <t xml:space="preserve">For the purposes of this analysis it is assumed that subjects were exposed at the reported level for a lifetime or until end of study, i.e., ADWE=AAD. </t>
  </si>
  <si>
    <t>Based on Xue 2010 all ages iAS dietary consumption in the US. DI is assumed to be lognormally distributed for the purposes of the MC analysis.  Assume Denmark = United States</t>
  </si>
  <si>
    <r>
      <rPr>
        <sz val="11"/>
        <color rgb="FF000000"/>
        <rFont val="Calibri"/>
        <scheme val="minor"/>
      </rPr>
      <t xml:space="preserve">Mendez et al. (2016) reports a median iAs groundwater level in US counties of 1.5, with an IQR of 0.9-3.5. From this we estimate a mean </t>
    </r>
    <r>
      <rPr>
        <sz val="11"/>
        <color rgb="FF000000"/>
        <rFont val="Calibri"/>
      </rPr>
      <t>±</t>
    </r>
    <r>
      <rPr>
        <sz val="13.2"/>
        <color rgb="FF000000"/>
        <rFont val="Calibri"/>
      </rPr>
      <t xml:space="preserve"> </t>
    </r>
    <r>
      <rPr>
        <sz val="11"/>
        <color rgb="FF000000"/>
        <rFont val="Calibri"/>
      </rPr>
      <t>standard deviation on the normal scale c</t>
    </r>
    <r>
      <rPr>
        <sz val="11"/>
        <color rgb="FF000000"/>
        <rFont val="Calibri"/>
        <scheme val="minor"/>
      </rPr>
      <t>orresponding to mean US county average arsenic level USGS measurements of drinking water sources.  (Mendez et al. 2016). LE is meant to represent the exposure levels for undocumented periods of the study. LE is assumed to be lognormally distributed for the purposes of the MC analysis.</t>
    </r>
  </si>
  <si>
    <t>Average age of controls(yrs)</t>
  </si>
  <si>
    <t>65.86 ± 10.52</t>
  </si>
  <si>
    <t>Chang 2016</t>
  </si>
  <si>
    <t>Taiwan-Central (Taichung)</t>
  </si>
  <si>
    <t>Average age of controls based on Table 1. Age is assumed to be normally distributed for the purposes of the MC analysis.</t>
  </si>
  <si>
    <t>64.56 ± 6.4</t>
  </si>
  <si>
    <t xml:space="preserve">Average body weight based on Taiwanese Exposure Factors Handbook All sexes 19-64 years old </t>
  </si>
  <si>
    <t>H</t>
  </si>
  <si>
    <r>
      <rPr>
        <b/>
        <sz val="11"/>
        <color theme="1"/>
        <rFont val="Calibri"/>
        <family val="2"/>
        <scheme val="minor"/>
      </rPr>
      <t xml:space="preserve">H - </t>
    </r>
    <r>
      <rPr>
        <sz val="11"/>
        <color theme="1"/>
        <rFont val="Calibri"/>
        <family val="2"/>
        <scheme val="minor"/>
      </rPr>
      <t>Height (cm)</t>
    </r>
  </si>
  <si>
    <t>164.4 ± 4.86</t>
  </si>
  <si>
    <t xml:space="preserve">Mean body height for both sexes and all ages 19-64 from Taiwanese Exposure Factors Table 6-2. </t>
  </si>
  <si>
    <t>Cumulative Exp (ug/L-years)</t>
  </si>
  <si>
    <t>Chen 1996</t>
  </si>
  <si>
    <t>Taiwan-SW</t>
  </si>
  <si>
    <t>DCS</t>
  </si>
  <si>
    <t>Average age at diagnosis was ~57 years (used Table 1; see calculations below).</t>
  </si>
  <si>
    <t>Chen1996-CE5-Ln-01-15-21.xlsx</t>
  </si>
  <si>
    <t>Average duration of drinking well water was ~16 years (used Table 2; see calculations below). For MC analysis (see "Doses" tab) ADWE/AAD was restricted to be &lt;= 1.</t>
  </si>
  <si>
    <t>1.4 ± 0.33</t>
  </si>
  <si>
    <t>Average of estimates provided for this population by Abernathy et al. (1989) and Schoof et al. (1998); see table below. DI is assumed to be lognormally distributed for the purposes of the MC analysis</t>
  </si>
  <si>
    <t>5 ± 15</t>
  </si>
  <si>
    <t>The water supply for the study area after mid-1970s came from the Tzeng-Wen Reservoir, where arsenic concentrations were below 10 ug/L (Yang et al., 2004)). Out of study low (LE) exposures are assumed to be 5 µ/L, and the SD was set to 3x this value. The MCL for this area was 50 ug/L (Hsueh et al., 1997).  LE is assumed to be lognormally distributed for the purposes of the MC analysis.</t>
  </si>
  <si>
    <t>RDWE</t>
  </si>
  <si>
    <t>Reported avg duration of well exposure used to dervive study cumulative exposure estimates (yrs)</t>
  </si>
  <si>
    <t>16 ± 14</t>
  </si>
  <si>
    <t>RDWE=ADWE; Average duration of drinking well water was ~16 years (used Table 2; see calculations below, with roughly 33% being exposed for over 30 years. RDWE is assumed to be lognormally distributed for the purposes of the MC analysis</t>
  </si>
  <si>
    <t>34.5 ± 23.2</t>
  </si>
  <si>
    <t xml:space="preserve">The natural scale mean and std entered here for WCR were computed from log-scale mean and SD values estimated for lognormal distribution that matches 5th and 95th percentiles of Taiwanese Exposure Handbook (see below). Though natural scale means and SDs are entered here, BW and WCR are assumed to be lognormally distributed for purposes of the MC analysis. </t>
  </si>
  <si>
    <r>
      <t>Water Consumption</t>
    </r>
    <r>
      <rPr>
        <b/>
        <vertAlign val="superscript"/>
        <sz val="11"/>
        <color theme="1"/>
        <rFont val="Calibri"/>
        <family val="2"/>
        <scheme val="minor"/>
      </rPr>
      <t>1</t>
    </r>
  </si>
  <si>
    <t>Percentile</t>
  </si>
  <si>
    <t>ml/kg-day</t>
  </si>
  <si>
    <t>ml/day (62.5 kg BW)</t>
  </si>
  <si>
    <t>1 -EPA used the Taiwanese Exposure Handbook for these estimations, but it was determined that the drinking water consumption data were collected in December, a cool month.  To correct for increased consumption rates anticipated in warmer months, EPA multiplied the water intake estimates given in the handbook by 1.5, with the exception that the maximum (100th percentile) water intake would never exceed 6 L for an average weight (62.5 kg) subject.  The new values are shown below.</t>
  </si>
  <si>
    <t>Years of well consumption</t>
  </si>
  <si>
    <t>Lognormal mean years</t>
  </si>
  <si>
    <t>Prevelance</t>
  </si>
  <si>
    <t>Contribution</t>
  </si>
  <si>
    <t>.1-29.9</t>
  </si>
  <si>
    <t xml:space="preserve">&gt;30 </t>
  </si>
  <si>
    <t>Overall Mean Years</t>
  </si>
  <si>
    <t>Avg age</t>
  </si>
  <si>
    <t>weighted avg</t>
  </si>
  <si>
    <t>Overall (years)</t>
  </si>
  <si>
    <t>Summary of Daily iAs Intakes</t>
  </si>
  <si>
    <t>Males</t>
  </si>
  <si>
    <t>Females</t>
  </si>
  <si>
    <t>Average</t>
  </si>
  <si>
    <t>Schoof (low)</t>
  </si>
  <si>
    <t>Schoof (mean)</t>
  </si>
  <si>
    <t>Schoof(high)</t>
  </si>
  <si>
    <t>Abernathy</t>
  </si>
  <si>
    <t>Avg of Schoof mean &amp; Abernathy</t>
  </si>
  <si>
    <t>Chen 2010</t>
  </si>
  <si>
    <t>Taiwan-NE</t>
  </si>
  <si>
    <t xml:space="preserve">Average age at diagnosis was estimated at 65 yrs, the midpoint between the 59.1 yrs average age at recruitment in 1991-1994 baseline and 59.1 yrs + 11.5 mean yrs of follow-up examination (Table 1 of Chen et al., 2010 lung cancer paper; same cohort). </t>
  </si>
  <si>
    <t>Reported average duration of drinking well water was 42 years (Chen 2010 lung cancer study, same cohort, p. 457).</t>
  </si>
  <si>
    <t>0.65 ± 0.33</t>
  </si>
  <si>
    <t>See Table 1 below. Estimated based on an analysis of Taiwanese eating habits (reference is Taiwanese handbook). Absorption fraction for foods was assumed to be 0.80.  Absorption fraction for cooking water was assumed to be 1.0. DI is assumed to be lognormally distributed for the purposes of the MC analysis.</t>
  </si>
  <si>
    <t>Table 1 of Chen et. Al.  (2010) used &lt; 10 ug/L as the low exposure for a broad NE Taiwan population. Out of study low (LE) exposures are assumed to be 5 µ/L, and the SD was set to 3x this value. There is likely high variability because of higher 50  µ/L MEL in Taiwan (Hsueh et al., 1997).</t>
  </si>
  <si>
    <t>42 ± 15</t>
  </si>
  <si>
    <r>
      <t xml:space="preserve">ADWE=RDWE. Reported average duration of drinking well water was 42 years (Chen 2010 lung cancer, same cohort, p. 457). Reported SD of duration was 15.1. </t>
    </r>
    <r>
      <rPr>
        <sz val="11"/>
        <rFont val="Calibri"/>
        <family val="2"/>
        <scheme val="minor"/>
      </rPr>
      <t>RDWE is assumed to be lognormally distributed for the purposes of the MC analysis.</t>
    </r>
  </si>
  <si>
    <t>See Table 2 below. Though natural scale means and SDs are entered here, BW and WCR are assumed to be lognormally distributed for purposes of the MC analysis. The natural scale mean and std entered here for WCR were computed from log-scale mean and SD values estimated for lognormal distribution that matches 5th and 95th percentiles of Taiwanese Exposure Handbook.</t>
  </si>
  <si>
    <t>Table 1 - Median Dietary Intake, ug/kg-day</t>
  </si>
  <si>
    <t>Rice</t>
  </si>
  <si>
    <t>Leafy Vegetables</t>
  </si>
  <si>
    <t>Tubers</t>
  </si>
  <si>
    <t>Pulses</t>
  </si>
  <si>
    <t>Meat</t>
  </si>
  <si>
    <t>Fish</t>
  </si>
  <si>
    <t>Cooking Water</t>
  </si>
  <si>
    <t>A total of 1,318 participated in the study residents ages ≥40 years from 18 villages between 1991-1994</t>
  </si>
  <si>
    <t>The arsenic exposure level of each study subject from drinking well water was derived from the iAs</t>
  </si>
  <si>
    <t>concentration in well water of the household at time of recruitment.</t>
  </si>
  <si>
    <t>Patient subjects were diagnosed based on a mean carotid IMT of ≥1.0 mm and either plaque occurrence</t>
  </si>
  <si>
    <t>in at least two locations on one side or the presence of stenosis of N50% in the left or right CCA</t>
  </si>
  <si>
    <t>The cumulative arsenic exposure from drinking well water was calculated as the sum of products derived</t>
  </si>
  <si>
    <t>by multiplying the arsenic concentration in well water (in milligrams per liter) by the year of</t>
  </si>
  <si>
    <t>drinking well water (in years) during successive periods of living in different villages.</t>
  </si>
  <si>
    <r>
      <t>Table 2 - Water Consumption</t>
    </r>
    <r>
      <rPr>
        <b/>
        <vertAlign val="superscript"/>
        <sz val="11"/>
        <color theme="1"/>
        <rFont val="Calibri"/>
        <family val="2"/>
        <scheme val="minor"/>
      </rPr>
      <t>1</t>
    </r>
  </si>
  <si>
    <t>1 -EPA used the Taiwanese Exposure Handbook for these estimations, but it was determined that the drinking water consumption data were collected in December, a cool month.  To correct for increased consumption rates anticipated in warmer months, EPA multiplied the water intake estimates given in the handbook by 1.5, with the exception that the maximum (100th percentile) water intake would never exceed 6 L for an average weight (62.5 kg) subject.</t>
  </si>
  <si>
    <t xml:space="preserve">Average age at diagnosis was estimated at 65 yrs, the midpoint between the 59.1 yrs average age at recruitment in 1991-1994 baseline and 59.1 yrs + 11.5 mean yrs of follow-up examination (Table 1 of Chen et al., 2010). </t>
  </si>
  <si>
    <t>Chen_2010_NE_Taiwan_CE-02-10-21.xlsx</t>
  </si>
  <si>
    <t>Reported average duration of drinking well water was 42 years (Chen 2010 lung cancer study, p. 457).</t>
  </si>
  <si>
    <r>
      <t>0.65 ± 0.33</t>
    </r>
    <r>
      <rPr>
        <sz val="8"/>
        <color theme="1"/>
        <rFont val="Calibri"/>
        <family val="2"/>
        <scheme val="minor"/>
      </rPr>
      <t> </t>
    </r>
  </si>
  <si>
    <t xml:space="preserve">See Table 1 below. Estimated from table in spreadsheet based on an analysis of Taiwanese eating habits (reference Taiwanese handbook). Absorption fraction for foods was assumed to be 0.80.  Absorption fraction for cooking water was assumed to be 1.0. DI is assumed to be lognormally distributed for the purposes of the MC analysis.  </t>
  </si>
  <si>
    <r>
      <t>5 ± 15</t>
    </r>
    <r>
      <rPr>
        <sz val="8"/>
        <color theme="1"/>
        <rFont val="Calibri"/>
        <family val="2"/>
        <scheme val="minor"/>
      </rPr>
      <t> </t>
    </r>
  </si>
  <si>
    <r>
      <t xml:space="preserve">ADWE=RDWE. Reported average duration of drinking well water was 42 years (Chen 2010, p. 457). Reported SD of duration was 15.1. </t>
    </r>
    <r>
      <rPr>
        <sz val="11"/>
        <rFont val="Calibri"/>
        <family val="2"/>
        <scheme val="minor"/>
      </rPr>
      <t>RDWE is assumed to be lognormally distributed for the purposes of the MC analysis.</t>
    </r>
  </si>
  <si>
    <t>34.5 ± 23.2 </t>
  </si>
  <si>
    <t xml:space="preserve">See Table 2 below. Though natural scale means and SDs are entered here, BW and WCR are assumed to be lognormally distributed for purposes of the MC analysis. The natural scale mean and std entered here for WCR were computed from log-scale mean and SD values estimated for lognormal distribution that matches 5th and 95th percentiles of Taiwanese Exposure Handbook (see table in spreadsheet). </t>
  </si>
  <si>
    <t>Average age (yrs)</t>
  </si>
  <si>
    <t>Chen 2011</t>
  </si>
  <si>
    <t>Average age calculated as mean of Male and Female mean age from Ahsan 2006 on Table 1. Age is assumed to be normally distributed for the purposes of the MC analysis. Minimum age set to 18 for simulations per Table 1 of Argos 2014.</t>
  </si>
  <si>
    <t>Chen 2011_U&amp;Isim-01-20-21.xlsx</t>
  </si>
  <si>
    <t>Chen 2013b</t>
  </si>
  <si>
    <t xml:space="preserve">Average age at diagnosis was estimated at ~50 years (46 yr mean at baseline as reported in Table 1 plus midpoint of ~8 yr follow-up based on recruitment between 10/2000 and 5/2002 and study end of 3/2009).  </t>
  </si>
  <si>
    <t>Chen2013b-DW4-01-15-21.xlsx</t>
  </si>
  <si>
    <t xml:space="preserve">Average duration of drinking well water was ~7.4 years (authors reported "average duration of index well use was 7.4 years prior to baseline," p. 9), but for the purposes of this analysis an ADWE of just 7.4 years was deemed unlikely. A more reasonable assumption is ADWE=AAD. </t>
  </si>
  <si>
    <t>Obtained from analysis of Bangladesh diet contribution (see iAs assessment Volume 2, Appendix I, Section I.4.11). DI is assumed to be normally distributed for the purposes of the MC analysis.</t>
  </si>
  <si>
    <r>
      <t xml:space="preserve">This estimate is based on US background tap water exposure levels. Mendez et al. (2016) reports a median iAs groundwater level in US counties of 1.5, with an IQR of 0.9-3.5. From this we estimate a mean </t>
    </r>
    <r>
      <rPr>
        <sz val="11"/>
        <color theme="1"/>
        <rFont val="Calibri"/>
        <family val="2"/>
      </rPr>
      <t>±</t>
    </r>
    <r>
      <rPr>
        <sz val="13.2"/>
        <color theme="1"/>
        <rFont val="Calibri"/>
        <family val="2"/>
      </rPr>
      <t xml:space="preserve"> </t>
    </r>
    <r>
      <rPr>
        <sz val="11"/>
        <color theme="1"/>
        <rFont val="Calibri"/>
        <family val="2"/>
      </rPr>
      <t>standard deviation on the normal scale c</t>
    </r>
    <r>
      <rPr>
        <sz val="11"/>
        <color theme="1"/>
        <rFont val="Calibri"/>
        <family val="2"/>
        <scheme val="minor"/>
      </rPr>
      <t>orresponding to mean US county average arsenic level USGS measurements of drinking water sources.  (Mendez et al. 2016). LE is meant to represent the exposure levels for undocumented periods of the study. LE is assumed to be lognormally distributed for the purposes of the MC analysis.</t>
    </r>
  </si>
  <si>
    <t>61.8 ± 26.8</t>
  </si>
  <si>
    <t>Though a natural scale mean and SD is entered here, WCR is assumed to be lognormally distributed for purposes of the MC analysis (see "Doses" worksheets). The natural scale mean and std entered here were computed from log-scale mean and SD values estimated for lognormal distribution that matches 5th and 95th percentiles for average males+females in the Bangladesh HEALS table below.</t>
  </si>
  <si>
    <t>Bangladesh ml/kg-day water consumtion percentiles for adults (HEALS)</t>
  </si>
  <si>
    <t>Men</t>
  </si>
  <si>
    <t>Women</t>
  </si>
  <si>
    <t>Minimum</t>
  </si>
  <si>
    <t>Maximum</t>
  </si>
  <si>
    <t>Mean</t>
  </si>
  <si>
    <t>Age</t>
  </si>
  <si>
    <t>52.1 ± 13.5</t>
  </si>
  <si>
    <t>Coronado-Gonzales 2007</t>
  </si>
  <si>
    <t>Mexico</t>
  </si>
  <si>
    <t>Weighted average and standard deviation from ages reported in Table 1; Min and max of 30 and 87 years.</t>
  </si>
  <si>
    <t>27.4 ± 4.3</t>
  </si>
  <si>
    <t>Osuna-Ramirez 2005</t>
  </si>
  <si>
    <t>Average body weight based on Exposure Factors Handbook, these values were used in other US populations with 38 kg being a reasonably low expected BW</t>
  </si>
  <si>
    <t>Dauphine 2013</t>
  </si>
  <si>
    <t>US-Western</t>
  </si>
  <si>
    <t>Average age at diagnosis was estimated at 69 years:  weighted average of cases and controls</t>
  </si>
  <si>
    <t>Dauphine_2013_CE-02-10-21.xlsm</t>
  </si>
  <si>
    <t>39 years calculated as weighted average of time spent in study area (Table 2).</t>
  </si>
  <si>
    <t>39 ± 3.33</t>
  </si>
  <si>
    <r>
      <t xml:space="preserve">Set equal to ADWE. </t>
    </r>
    <r>
      <rPr>
        <sz val="11"/>
        <rFont val="Calibri"/>
        <family val="2"/>
        <scheme val="minor"/>
      </rPr>
      <t>RDWE is assumed to be lognormally distributed for the purposes of the MC analysis.</t>
    </r>
  </si>
  <si>
    <t>DW (ug/L)  and CE (ug)</t>
  </si>
  <si>
    <t>D'Ippoliti 2015</t>
  </si>
  <si>
    <t>Italy</t>
  </si>
  <si>
    <t>Diabetes, DCS</t>
  </si>
  <si>
    <t>Reported age at time of death, Table 1</t>
  </si>
  <si>
    <t>Average duration of well exposure (yrs)</t>
  </si>
  <si>
    <t>Reported average duration of exposure, page 7</t>
  </si>
  <si>
    <t>66 ± 13</t>
  </si>
  <si>
    <t>M: 78 ± 11
F: 62 ± 11</t>
  </si>
  <si>
    <t>From Italian National Food Consumption Survey (2005-2006) (Leclercq et al., 2009)</t>
  </si>
  <si>
    <t>Dietary Intake (ug/kg-day)</t>
  </si>
  <si>
    <t>0.07 ± 0.7</t>
  </si>
  <si>
    <r>
      <t>The assumed dietary intake and 3xSD are based on the mean and 95th percentile of measured iAs (iAs</t>
    </r>
    <r>
      <rPr>
        <vertAlign val="subscript"/>
        <sz val="11"/>
        <color theme="1"/>
        <rFont val="Calibri"/>
        <family val="2"/>
        <scheme val="minor"/>
      </rPr>
      <t>m</t>
    </r>
    <r>
      <rPr>
        <sz val="11"/>
        <color theme="1"/>
        <rFont val="Calibri"/>
        <family val="2"/>
        <scheme val="minor"/>
      </rPr>
      <t>) dietary intake reported for adults in Italy (Cubadda et al., 2016, Table 2). DI is assumed to be normally distributed for the purposes of the MC analysis.</t>
    </r>
  </si>
  <si>
    <t>Change equation to divide LE*WCR by BW</t>
  </si>
  <si>
    <t>Low exposure (ug/L)</t>
  </si>
  <si>
    <t>0 or 16.6 ± 37</t>
  </si>
  <si>
    <t xml:space="preserve">For U.S. and some European studies that did not provide an indication of study-specific WCR, a two-step approach was used to account for the 1) zero direct or indirect water consumption reported for 35% of the U.S. population and 2) “consumer-only” direct and indirect water consumption mean of 16.6 ml/kg-day and SE of 0.3 ml/kg-day SE reported for 65% of the sampled U.S. population (15,219) in Table 3-21 of the U.S. EPA Exposure Factors Handbook {U.S. EPA, 2019, 7267482}. Though a natural scale mean and SD is entered here, WCR is assumed to be lognormally distributed for purposes of the MC analysis (see "Doses" tabs in study workbook). </t>
  </si>
  <si>
    <t>Eick 2019</t>
  </si>
  <si>
    <t>Chile</t>
  </si>
  <si>
    <t xml:space="preserve">Average age at diagnosis was based on the average age of cases reported in table 1 and calculated in spreadsheet. </t>
  </si>
  <si>
    <t>Eick_2019_DW-09-03-24.xlsx</t>
  </si>
  <si>
    <t>1.00 ± 0.30</t>
  </si>
  <si>
    <t>Estmated based on evidence tables in WHO 2011 (table 17 and 18) mean of dietary intake from two Chilean studies. DI is assumed to be normally distributed for the purposes of the MC analysis.</t>
  </si>
  <si>
    <r>
      <t xml:space="preserve">This estimate is based on US tap water exposure levels. Mendez et al. (2016) reports a median iAs groundwater level in US counties of 1.5, with an IQR of 0.9-3.5. From this we estimate a mean </t>
    </r>
    <r>
      <rPr>
        <sz val="11"/>
        <color theme="1"/>
        <rFont val="Calibri"/>
        <family val="2"/>
      </rPr>
      <t>±</t>
    </r>
    <r>
      <rPr>
        <sz val="13.2"/>
        <color theme="1"/>
        <rFont val="Calibri"/>
        <family val="2"/>
      </rPr>
      <t xml:space="preserve"> </t>
    </r>
    <r>
      <rPr>
        <sz val="11"/>
        <color theme="1"/>
        <rFont val="Calibri"/>
        <family val="2"/>
      </rPr>
      <t>standard deviation on the normal scale c</t>
    </r>
    <r>
      <rPr>
        <sz val="11"/>
        <color theme="1"/>
        <rFont val="Calibri"/>
        <family val="2"/>
        <scheme val="minor"/>
      </rPr>
      <t>orresponding to mean US county average arsenic level USGS measurements of drinking water sources.  (Mendez et al. 2016). LE is meant to represent the exposure levels for undocumented periods of the study. LE is assumed to be lognormally distributed for the purposes of the MC analysis.</t>
    </r>
  </si>
  <si>
    <t>Daily Intake (ug/day)</t>
  </si>
  <si>
    <t>Average Chilean body weight obtained from Encuesta Nacional de Salud 2009–2010 Archived 12 March 2011 at the Wayback Machine (p. 81), https://web.archive.org/web/20110312040633/http://www.redsalud.gov.cl/portal/url/item/99c12b89738d80d5e04001011e0113f8.pdf</t>
  </si>
  <si>
    <t>Eick_2019_CE-09-03-24.xlsx</t>
  </si>
  <si>
    <t>65 ± 3.33</t>
  </si>
  <si>
    <t xml:space="preserve">ADWE=RDWE. RDWE is assumed to be lognormally distributed for the purposes of the MC analysis. </t>
  </si>
  <si>
    <t>24.3 ± 13.33</t>
  </si>
  <si>
    <r>
      <rPr>
        <sz val="11"/>
        <color rgb="FF000000"/>
        <rFont val="Calibri"/>
        <scheme val="minor"/>
      </rPr>
      <t xml:space="preserve">Though a natural scale mean and SD is entered here, </t>
    </r>
    <r>
      <rPr>
        <sz val="11"/>
        <color rgb="FF7030A0"/>
        <rFont val="Calibri"/>
        <scheme val="minor"/>
      </rPr>
      <t>WCR is assumed to be lognormally distributed for purposes of the MC analysis</t>
    </r>
    <r>
      <rPr>
        <sz val="11"/>
        <color rgb="FF000000"/>
        <rFont val="Calibri"/>
        <scheme val="minor"/>
      </rPr>
      <t>. Mean and SD L/day for Chile controls (Steinmaus 2013; 1.66 ± 0.91 L/day) divided by 68 kg mean BW.</t>
    </r>
  </si>
  <si>
    <t>Diabetes Cases and Ctls</t>
  </si>
  <si>
    <t>n</t>
  </si>
  <si>
    <t>age midpoint</t>
  </si>
  <si>
    <t>75+</t>
  </si>
  <si>
    <t>66-75</t>
  </si>
  <si>
    <t>55-65</t>
  </si>
  <si>
    <t>&lt;55</t>
  </si>
  <si>
    <t>ave age in study (years)</t>
  </si>
  <si>
    <r>
      <t>Water Consumption</t>
    </r>
    <r>
      <rPr>
        <b/>
        <vertAlign val="superscript"/>
        <sz val="11"/>
        <color theme="1"/>
        <rFont val="Calibri"/>
        <family val="2"/>
        <scheme val="minor"/>
      </rPr>
      <t>9</t>
    </r>
  </si>
  <si>
    <t xml:space="preserve">Average </t>
  </si>
  <si>
    <t>BW (U.S.), kg</t>
  </si>
  <si>
    <t>H20 (L)</t>
  </si>
  <si>
    <t>H20 iAs</t>
  </si>
  <si>
    <t>Water, mg/yr</t>
  </si>
  <si>
    <t>Low Exposure</t>
  </si>
  <si>
    <t>3XSD</t>
  </si>
  <si>
    <t>ug/L</t>
  </si>
  <si>
    <t>ug/day</t>
  </si>
  <si>
    <t>9 - Used Drinking water intake for current controls in L/d and divided by TWA BW based on US population from Exposure Factors Handbook Table 8-3</t>
  </si>
  <si>
    <t>Diabetes Controls Only</t>
  </si>
  <si>
    <t>Average age</t>
  </si>
  <si>
    <t>TWA body weight (kg)</t>
  </si>
  <si>
    <t>Ferreccio 2000</t>
  </si>
  <si>
    <t>Weighted average of cases and noncancer controls (Table 3)</t>
  </si>
  <si>
    <t>Ferreccio_2000_DW-02-10-221.xlsm</t>
  </si>
  <si>
    <r>
      <rPr>
        <sz val="11"/>
        <color rgb="FF000000"/>
        <rFont val="Calibri"/>
        <scheme val="minor"/>
      </rPr>
      <t xml:space="preserve">Though a natural scale mean and SD is entered here, </t>
    </r>
    <r>
      <rPr>
        <sz val="11"/>
        <color rgb="FF7030A0"/>
        <rFont val="Calibri"/>
        <scheme val="minor"/>
      </rPr>
      <t>WCR is assumed to be lognormally distributed for purposes of the MC analysis</t>
    </r>
    <r>
      <rPr>
        <sz val="11"/>
        <color rgb="FF000000"/>
        <rFont val="Calibri"/>
        <scheme val="minor"/>
      </rPr>
      <t>. Mean and SD L/day for Chile controls (Steinmaus 2013; 1.66 ± 0.91 L/day) divided by 68 kg mean BW (EPA Exposure Factors Handbook, 2011).</t>
    </r>
  </si>
  <si>
    <t>56.2 ± 8</t>
  </si>
  <si>
    <t>Grau-Perez 2017</t>
  </si>
  <si>
    <t>Use value from Garcia-Esquinas (same cohort but different subpopulation)</t>
  </si>
  <si>
    <t>30.9 ± 6.3</t>
  </si>
  <si>
    <t>56.2 ± 6</t>
  </si>
  <si>
    <t>Garcia-Esquinas 2013</t>
  </si>
  <si>
    <t>Average age of all participants based on Table 1. LE is assumed to be normally distributed for the purposes of the MC analysis. Simulation adjusted for minimum age of 45 reported in study.</t>
  </si>
  <si>
    <t>Garcia-Esquinas_2013_Urine-02-10-21.xlsm</t>
  </si>
  <si>
    <t>Mean BMI for all participants presented in table 1</t>
  </si>
  <si>
    <t>Toenail (ug/g) converted to DW (ug/L)</t>
  </si>
  <si>
    <t>61.7 ± 11.2</t>
  </si>
  <si>
    <t>Heck 2009</t>
  </si>
  <si>
    <t>Weighted average and standard deviation from values reported in Table 1.</t>
  </si>
  <si>
    <t>Heck_2009_Toenail_DW-02-10-21.xlsx</t>
  </si>
  <si>
    <t>Average of durations of exposure reported in text, page 1720</t>
  </si>
  <si>
    <t>Toenail conc.</t>
  </si>
  <si>
    <t>Drinking water conc.</t>
  </si>
  <si>
    <t>Drinking water concentrations estimated using regression equations reported in Moon 2017 supplemental information (A Dose-response meta-analysis of chronic arsenic exposure and incident cardiovascular disease).  Water arsenic (ug/L) &gt;= 1 ug/L = 10^(1.4+0.9*log10(toenail iAs)
Water arsenic (ug/L) &lt; 1 ug/L = 10^(-0.4+0.1*log10(toenail iAs)
A toenail arsenic concentration of 0.028 ug/g = 1 ug/L.  Therefore, all conversions used the first equation except the low end of the reference group, which was set = 0 for purposes of MC analysis.</t>
  </si>
  <si>
    <t>Hsueh 1998</t>
  </si>
  <si>
    <t xml:space="preserve">Average age at diagnosis was not reported, but assumed to be ~57 years, the same as Chen et al. (1996) which used same cohort and measured similar response endpoints.  </t>
  </si>
  <si>
    <t>Hsueh1998-CE5-Ln-01-15-21.xlsx</t>
  </si>
  <si>
    <t>Average duration of drinking well water was ~24 years (used Table 2; see calculations in spreadsheet).  RDWE is assumed to be lognormally distributed for the purposes of the MC analysis. For MC analysis (see "Doses" tab) ADWE/AAD was restricted ot be &lt;= 1.</t>
  </si>
  <si>
    <t>24 ± 14</t>
  </si>
  <si>
    <t>Average duration of drinking well water was ~17.5 years (middle exposure was 15-20 years [Table 5]; subset of Chen et al. (1996) where roughly 33% being exposed for over 30 years. RDWE is assumed to be lognormally distributed for the purposes of the MC analysis.</t>
  </si>
  <si>
    <t xml:space="preserve">The natural scale mean and std entered here for WCR were computed from log-scale mean and SD values estimated for lognormal distribution that matches 5th and 95th percentiles of Taiwanese Exposure Handbook (see table below). Though natural scale means and SDs are entered here, BW and WCR are assumed to be lognormally distributed for purposes of the MC analysis. </t>
  </si>
  <si>
    <t>Output of Daily iAs Intakes</t>
  </si>
  <si>
    <t>0-13</t>
  </si>
  <si>
    <t>13-29</t>
  </si>
  <si>
    <t>9 -EPA used the Taiwanese Exposure Handbook for these estimations, but it was determined that the drinking water consumption data were collected in December, a cool month.  To correct for increased consumption rates anticipated in warmer months, EPA multiplied the water intake estimates given in the handbook by 1.5, with the exception that the maximum (100th percentile) water intake would never exceed 6 L for an average weight (62.5 kg) subject.  The new values are shown below.</t>
  </si>
  <si>
    <t>60.82 ± 13.7</t>
  </si>
  <si>
    <t>Huang 2018</t>
  </si>
  <si>
    <t>Taiwan-NE (Taipei)</t>
  </si>
  <si>
    <t>Average age of controls based on Table 1. Age is assumed to be normally distributed for the purposes of the MC analysis. SD=SQRT(813)*0.48=13.7</t>
  </si>
  <si>
    <t xml:space="preserve">Average body weight based on Taiwanese Exposure Factors Handbook All sexes 19-64 years old. </t>
  </si>
  <si>
    <t>Cumulative Exp (ug/L)</t>
  </si>
  <si>
    <t>James 2013</t>
  </si>
  <si>
    <t>Reported age for total subcohort in Table 1.</t>
  </si>
  <si>
    <t>Set equal to AAD</t>
  </si>
  <si>
    <t>56 ± 10</t>
  </si>
  <si>
    <t>Set equal to ADWE, use 10 yrs as reasonable SD.</t>
  </si>
  <si>
    <t>17 ± 37</t>
  </si>
  <si>
    <t xml:space="preserve">James et al. (2015) reports that 5 cups of water or more per day, equivalent to ~17 ml/kg-day for a 70 kg person, was ingested by 60% of their cohort.  This is used as an approximate mean for this cohort and the SD is assumed to be similar to the SD for the U.S. "consumer only" WCR given in Table 3-21 of the U.S. EPA Exposure Factors Handbook {U.S. EPA, 2019, 7267482}, which reports a mean WCR of 16.6 ml/kg-day and SE of 0.3 ml/kg-day SE for 65% of the sampled U.S. population (15,219) . Though a natural scale mean and SD is entered here, WCR is assumed to be lognormally distributed for purposes of the MC analysis (see "Doses" tabs in study workbook). </t>
  </si>
  <si>
    <t>James 2015</t>
  </si>
  <si>
    <t>US-Western (Colorado)</t>
  </si>
  <si>
    <t xml:space="preserve">Average age at diagnosis was ~65 years (avg age at baseline of 57 yrs + 8 yrs [assuming  equal number of diagnoses in 2nd 2/3 as last 1/3 of 12 yr follow-up period]) . </t>
  </si>
  <si>
    <t>James2015-DW4-01-19-21.xlsx</t>
  </si>
  <si>
    <t>Average duration of drinking water exposure at the reported levels was estimated to be same as age of diagnosis.  For MC analysis (see "Doses" tab) ADWE/AAD was restricted ot be &lt;= 1.</t>
  </si>
  <si>
    <t>Karagas 2004</t>
  </si>
  <si>
    <t>Weighted average from values reported in Table 1.</t>
  </si>
  <si>
    <t>16.5 ± 13.6</t>
  </si>
  <si>
    <t>Cases average and SD for "Years Used Water System" (Table 1)</t>
  </si>
  <si>
    <t>Karim 2013</t>
  </si>
  <si>
    <t xml:space="preserve">Average age at diagnosis was ~37 years (Table 1; see calculation below). </t>
  </si>
  <si>
    <t>Karim2013-DW4-01-20-21.xlsx</t>
  </si>
  <si>
    <t>Average duration of drinking well water is estimated to be ~30 years (Table 1; see calculation below). For MC analysis (see "Doses" tab) ADWE/AAD was restricted to be &lt;= 1.</t>
  </si>
  <si>
    <t>Avg age at recruitment</t>
  </si>
  <si>
    <t>N</t>
  </si>
  <si>
    <t>overall weighted average (years)</t>
  </si>
  <si>
    <t>Avg duration of residence</t>
  </si>
  <si>
    <t>60.84 ± 14</t>
  </si>
  <si>
    <t>Lin 2018</t>
  </si>
  <si>
    <t>Average age of controls based on Table 1. Age is assumed to be normally distributed for the purposes of the MC analysis. SD=SQRT(648)*0.55=14</t>
  </si>
  <si>
    <t>Meliker 2010</t>
  </si>
  <si>
    <t>US-Central (Michigan)</t>
  </si>
  <si>
    <t xml:space="preserve">Average age at diagnosis was based on the average age of cases reported in Table 1; weighted average of 65.547 years calculated below.  </t>
  </si>
  <si>
    <t>Meliker2010_CE5-Ln_ugperday-01-12-21.xlsx</t>
  </si>
  <si>
    <t>ADWE=AAD; Exposure assumed to be constant over lifetime. For MC analysis (see "Doses" tab) ADWE/AAD was restricted to be &lt;= 1.</t>
  </si>
  <si>
    <t>Body weight based on US estimates from Exposure Factors Handbook for the average age of the study population (see calculations below). Assumed to be lognormally distributed with lowest reasonable BW of 38kg.</t>
  </si>
  <si>
    <t>Xue 2010 average iAS dietary intake for all ages. DI is assumed to be lognormally distributed for the purposes of the MC analysis.</t>
  </si>
  <si>
    <t>66 ± 3.33</t>
  </si>
  <si>
    <t xml:space="preserve">Same as ADWE. RDWE is assumed to be lognormally distributed for the purposes of the MC analysis. </t>
  </si>
  <si>
    <t>Bladder Cancer Cases</t>
  </si>
  <si>
    <t>75-80</t>
  </si>
  <si>
    <t>65-74</t>
  </si>
  <si>
    <t>55-64</t>
  </si>
  <si>
    <t>45-54</t>
  </si>
  <si>
    <t>21-45</t>
  </si>
  <si>
    <t>ave age (years)</t>
  </si>
  <si>
    <t>59 ± 5.1</t>
  </si>
  <si>
    <t>Michaud 2004</t>
  </si>
  <si>
    <t>Finland</t>
  </si>
  <si>
    <r>
      <t xml:space="preserve">Cases average and SD for "Years Used Water System" (Table </t>
    </r>
    <r>
      <rPr>
        <sz val="11"/>
        <rFont val="Calibri"/>
        <family val="2"/>
        <scheme val="minor"/>
      </rPr>
      <t>1). No exposure duration information was provided. A constant exposure over lifetime is assumed.</t>
    </r>
  </si>
  <si>
    <r>
      <t xml:space="preserve">Based on Xue 2010 all ages iAS dietary consumption in the US. </t>
    </r>
    <r>
      <rPr>
        <sz val="11"/>
        <color rgb="FF7030A0"/>
        <rFont val="Calibri"/>
        <family val="2"/>
        <scheme val="minor"/>
      </rPr>
      <t>DI is assumed to be lognormally distributed for the purposes of the MC analysis.</t>
    </r>
    <r>
      <rPr>
        <sz val="11"/>
        <color theme="1"/>
        <rFont val="Calibri"/>
        <family val="2"/>
        <scheme val="minor"/>
      </rPr>
      <t xml:space="preserve"> </t>
    </r>
    <r>
      <rPr>
        <sz val="11"/>
        <color rgb="FFFF0000"/>
        <rFont val="Calibri"/>
        <family val="2"/>
        <scheme val="minor"/>
      </rPr>
      <t>This dietary assumption may not be valid for Finland.</t>
    </r>
  </si>
  <si>
    <t>Water consumption rate (ml/day)</t>
  </si>
  <si>
    <t>Monrad 2017</t>
  </si>
  <si>
    <t>Ages are weighted averages for Total cohort; calculated from Table 1</t>
  </si>
  <si>
    <t>no spreadsheet created yet.</t>
  </si>
  <si>
    <t>Authors report RRs for myocardial infarction (MI) associated with "quartile (Q) of time weighted average (TWA) arsenic concentration in drinking water over a 20-year period preceding the
diagnosis" (Table 2). However, since the variation in the population exposures is low (mean high exposure &lt;5-fold above population mean [LE]), it is assumed that ADWE=AAD.</t>
  </si>
  <si>
    <t xml:space="preserve">no spreadsheet created yet. </t>
  </si>
  <si>
    <t>56 ± 8</t>
  </si>
  <si>
    <t>Moon 2013</t>
  </si>
  <si>
    <t>Average age and SD provided in Table 3 of Moon2013. Age is assumed to be normally distributed for the purposes of the MC analysis.</t>
  </si>
  <si>
    <t>30.8 ± 6.3</t>
  </si>
  <si>
    <t>Mean BMI and SD presented in table 3 of Moon2013. Assumed to be log normally distributed for the MCMC.</t>
  </si>
  <si>
    <t>Average body weight based US populations in Exposure factors HB with 38 kg being a reasonably low expected BW. Assumed to be lognormally distributed for the MCMC.</t>
  </si>
  <si>
    <t>UER</t>
  </si>
  <si>
    <t>Urinary excretion rate (L/day)</t>
  </si>
  <si>
    <t>51.9 ± 0.85</t>
  </si>
  <si>
    <t>Obtained from Hays et al. (2105), Table 2, for All, 40-59 year age group. SD estimated as 1/2 the average of the differences between the reported mean and 95% confidence interval lower and upper bounds.</t>
  </si>
  <si>
    <t xml:space="preserve">STRONG HEART STUDY, subsample with arsenic repeated measures (N=386). </t>
  </si>
  <si>
    <t xml:space="preserve">Table 1. SHS arsenic concentrations  at phase I (1989-91, baseline) and change over phase II (1993-95) and phase III (1998-99), stratified by baseline exposure level groups as in Moon et al 2013. </t>
  </si>
  <si>
    <r>
      <t xml:space="preserve">Data are mean (standard error) of urine arsenic concentrations divided by urine creatinine levels, expressed as </t>
    </r>
    <r>
      <rPr>
        <sz val="11"/>
        <color theme="1"/>
        <rFont val="Symbol"/>
        <family val="1"/>
        <charset val="2"/>
      </rPr>
      <t>m</t>
    </r>
    <r>
      <rPr>
        <sz val="11"/>
        <color theme="1"/>
        <rFont val="Times New Roman"/>
        <family val="1"/>
      </rPr>
      <t xml:space="preserve">g/g. </t>
    </r>
  </si>
  <si>
    <t>Arsenic concentration is assessed as the sum of iAs, MMA and DMA.</t>
  </si>
  <si>
    <t>Phase I Concentrations (baseline)</t>
  </si>
  <si>
    <t>Phase II vs Phase I change</t>
  </si>
  <si>
    <t>Phase III vs Phase I change</t>
  </si>
  <si>
    <r>
      <t xml:space="preserve">&lt;5.8 </t>
    </r>
    <r>
      <rPr>
        <sz val="11"/>
        <color theme="1"/>
        <rFont val="Symbol"/>
        <family val="1"/>
        <charset val="2"/>
      </rPr>
      <t>m</t>
    </r>
    <r>
      <rPr>
        <sz val="11"/>
        <color rgb="FF000000"/>
        <rFont val="Times New Roman"/>
        <family val="1"/>
      </rPr>
      <t>g/g</t>
    </r>
  </si>
  <si>
    <t>4.18 (1.04)</t>
  </si>
  <si>
    <t>1.10 (3.12)</t>
  </si>
  <si>
    <t>1.65 (4.18)</t>
  </si>
  <si>
    <r>
      <t xml:space="preserve">5.8 - 9.7 </t>
    </r>
    <r>
      <rPr>
        <sz val="11"/>
        <color theme="1"/>
        <rFont val="Symbol"/>
        <family val="1"/>
        <charset val="2"/>
      </rPr>
      <t>m</t>
    </r>
    <r>
      <rPr>
        <sz val="11"/>
        <color rgb="FF000000"/>
        <rFont val="Times New Roman"/>
        <family val="1"/>
      </rPr>
      <t>g/g</t>
    </r>
  </si>
  <si>
    <t>7.72 (1.17)</t>
  </si>
  <si>
    <t>-0.53 (4.48)</t>
  </si>
  <si>
    <t>0.02 (5.12)</t>
  </si>
  <si>
    <r>
      <t xml:space="preserve">9.8 - 15.7 </t>
    </r>
    <r>
      <rPr>
        <sz val="11"/>
        <color theme="1"/>
        <rFont val="Symbol"/>
        <family val="1"/>
        <charset val="2"/>
      </rPr>
      <t>m</t>
    </r>
    <r>
      <rPr>
        <sz val="11"/>
        <color rgb="FF000000"/>
        <rFont val="Times New Roman"/>
        <family val="1"/>
      </rPr>
      <t>g/g</t>
    </r>
  </si>
  <si>
    <t>12.65 (1.73)</t>
  </si>
  <si>
    <t>-2.60 (4.41)</t>
  </si>
  <si>
    <t>-1.11 (5.82)</t>
  </si>
  <si>
    <r>
      <t xml:space="preserve">&gt;15.7 </t>
    </r>
    <r>
      <rPr>
        <sz val="11"/>
        <color theme="1"/>
        <rFont val="Symbol"/>
        <family val="1"/>
        <charset val="2"/>
      </rPr>
      <t>m</t>
    </r>
    <r>
      <rPr>
        <sz val="11"/>
        <color theme="1"/>
        <rFont val="Times New Roman"/>
        <family val="1"/>
      </rPr>
      <t>g</t>
    </r>
    <r>
      <rPr>
        <sz val="11"/>
        <color rgb="FF000000"/>
        <rFont val="Times New Roman"/>
        <family val="1"/>
      </rPr>
      <t>/g</t>
    </r>
  </si>
  <si>
    <t>24.79 (10.12)</t>
  </si>
  <si>
    <t>-8.80 (9.56)</t>
  </si>
  <si>
    <t>-4.63 (13.88)</t>
  </si>
  <si>
    <t>Overall</t>
  </si>
  <si>
    <t>11.45 (9.22)</t>
  </si>
  <si>
    <t>-2.32 (6.86)</t>
  </si>
  <si>
    <t>-0.77 (8.25)</t>
  </si>
  <si>
    <t>Mostafa 2009</t>
  </si>
  <si>
    <t>Weighted average of cases and noncancer controls; Table 1</t>
  </si>
  <si>
    <t xml:space="preserve">Mostafa_2009_DW_NSmoke-02-10-21.xlsm
Mostafa_2009_DW_Smoke-02-10-21.xlsm </t>
  </si>
  <si>
    <r>
      <t xml:space="preserve">Obtained from analysis of Bangladesh diet contribution (see iAs assessment Volume 2, Appendix I, Section I.4.11). DI is assumed to be </t>
    </r>
    <r>
      <rPr>
        <sz val="11"/>
        <rFont val="Calibri"/>
        <family val="2"/>
        <scheme val="minor"/>
      </rPr>
      <t>normally</t>
    </r>
    <r>
      <rPr>
        <sz val="11"/>
        <color theme="1"/>
        <rFont val="Calibri"/>
        <family val="2"/>
        <scheme val="minor"/>
      </rPr>
      <t xml:space="preserve"> distributed for the purposes of the MC analysis.</t>
    </r>
  </si>
  <si>
    <r>
      <t>61.8 ± 26.83</t>
    </r>
    <r>
      <rPr>
        <sz val="8"/>
        <color theme="1"/>
        <rFont val="Calibri"/>
        <family val="2"/>
        <scheme val="minor"/>
      </rPr>
      <t> </t>
    </r>
  </si>
  <si>
    <t>Mostafa 2015</t>
  </si>
  <si>
    <t>This paper looked at both transition cell cancer (TCC) and chronic cystitis (CC) of the ureter, bladder or urethra. They found a relation for CC, but not for TCC. They report (p. 1374) that "those diagnosed with CC (mean age 52.1 years) were some 8 years younger than those with TCC (mean age 60.3 years)"</t>
  </si>
  <si>
    <t xml:space="preserve">47.5 (19.8), 45.2 (20.5), 43.7 (21.4), 42.3 (22.9) </t>
  </si>
  <si>
    <t>Niagra 2021</t>
  </si>
  <si>
    <r>
      <t xml:space="preserve">Age and SD (SE * </t>
    </r>
    <r>
      <rPr>
        <sz val="11"/>
        <color theme="1"/>
        <rFont val="Calibri"/>
        <family val="2"/>
      </rPr>
      <t>√N)</t>
    </r>
    <r>
      <rPr>
        <sz val="11"/>
        <color theme="1"/>
        <rFont val="Calibri"/>
        <family val="2"/>
        <scheme val="minor"/>
      </rPr>
      <t xml:space="preserve"> for each of 4 exposure quartiles were obtained from Table 1 of Niagra. The simulation distributions were restricted to a minimum age of 18 (youngest participant in the study per the authors).</t>
    </r>
  </si>
  <si>
    <t>27.9 (6.59), 28.4 (6.84), 29 (7.14),  28.6 (7.65)</t>
  </si>
  <si>
    <t>BMI and SD (SE * √N) for each of 4 exposure quartiles were obtained from Table 1 of Niagra. The simulation distributions were restricted to a minimum BMI of 20 (a rare BMI for the US population).</t>
  </si>
  <si>
    <t>Pan 2013</t>
  </si>
  <si>
    <t>Weighted average age from values reported in Table 1</t>
  </si>
  <si>
    <t>58 ± 10</t>
  </si>
  <si>
    <t>Rangel-Moreno 2022</t>
  </si>
  <si>
    <t>Mean and SD estimated from median (58 years) and range (36-88 years) reported Section 3 of paper; minimum age allowed in simulation set to 36.</t>
  </si>
  <si>
    <t>Rangel-Moreno 2023</t>
  </si>
  <si>
    <t>Rangel-Moreno 2024</t>
  </si>
  <si>
    <t>Sohel 2009</t>
  </si>
  <si>
    <t xml:space="preserve">Average age at diagnosis (death) was estimated to be ~67 years (61 yr mean at baseline estimated from Table 1 [see calculations below] plus 2/3 of 9 year follow-up period.  </t>
  </si>
  <si>
    <t>Sohel2009-DW4-01-20-21.xlsx</t>
  </si>
  <si>
    <t>deaths%</t>
  </si>
  <si>
    <t>N Total</t>
  </si>
  <si>
    <t>N Deaths</t>
  </si>
  <si>
    <t>Deaths</t>
  </si>
  <si>
    <t>Survivors</t>
  </si>
  <si>
    <t>Steinmaus 2003</t>
  </si>
  <si>
    <t xml:space="preserve">Average age at diagnosis was based on the average age of cases reported in table 1.  </t>
  </si>
  <si>
    <t>Steinmaus2003_CE5-Ln_mg-01-12-21.xlsx</t>
  </si>
  <si>
    <t xml:space="preserve">This group had cumulative exposures calculated based on residential history and municipal water records. Cumulative exposures only included time in study area, which was 33.2% (Table 2) of lifetime, which averaged 69.8 (Table 2); Thus, ADWE is estimated at .332 x 69.8 = 23.2 years. </t>
  </si>
  <si>
    <t>70.3 ± 9.6</t>
  </si>
  <si>
    <t>Average age of cases presented in Table 1 for controls. Assumed to be lognormally distributed for MCMC.</t>
  </si>
  <si>
    <t>Steinmaus 2013</t>
  </si>
  <si>
    <t xml:space="preserve">Average age at diagnosis was based on the average age of cases reported in table 2 and calculated in spreadsheet.  </t>
  </si>
  <si>
    <t>Steinmaus2013_CE5-Ln_ugperday_01-12-21.xlsx</t>
  </si>
  <si>
    <t>Water consumption rate (L/day)</t>
  </si>
  <si>
    <t>1.7 ± 0.9</t>
  </si>
  <si>
    <t>Current water consumption rate for controls reported by Steinmaus et al. (2013) - BW and WCR are assumed to be lognormally distributed for purposes of the MC analysis. The mean and std entered was calculated from the current drinking water intakes reported in Table 2 and BW was calculated using a time weighted average based on US body weight from Exposure factors handbook (see table below).</t>
  </si>
  <si>
    <t>Bladder Cancer Cases and Ctls</t>
  </si>
  <si>
    <t>70+</t>
  </si>
  <si>
    <t>60-69</t>
  </si>
  <si>
    <t>50-59</t>
  </si>
  <si>
    <t>40-49</t>
  </si>
  <si>
    <t>30-39</t>
  </si>
  <si>
    <t>Bladder Cancer Cases Only</t>
  </si>
  <si>
    <t xml:space="preserve">Average age at diagnosis was based on the average age of cases reported in table 2 and calculated in spreadsheet. </t>
  </si>
  <si>
    <t>Steinmaus2013_CE-ugperday-02-10-21.xlsx</t>
  </si>
  <si>
    <t>Tseng 1997</t>
  </si>
  <si>
    <t>Average age at diagnosis was ~53 years (used Table 1; see calculations below).</t>
  </si>
  <si>
    <t>Tseng1997-CE5-Ln-01-20-21.xlsx</t>
  </si>
  <si>
    <t>Average duration of drinking well water was ~19 years (used Table 2; see calculations below). RDWE is assumed to be lognormally distributed for the purposes of the MC analysis. For MC analysis (see "Doses" tab) ADWE/AAD was restricted to be &lt;= 1.</t>
  </si>
  <si>
    <t>19 ± 14</t>
  </si>
  <si>
    <t>Average duration of drinking well water was ~19 years (used Table 2; see calculations below), with roughly 24% being exposed from more than 30 years. RDWE is assumed to be lognormally distributed for the purposes of the MC analysis.</t>
  </si>
  <si>
    <t>Input file for lognormal fit</t>
  </si>
  <si>
    <t>1-19</t>
  </si>
  <si>
    <t>20-29</t>
  </si>
  <si>
    <t>&gt;=30</t>
  </si>
  <si>
    <t>Wade 2009</t>
  </si>
  <si>
    <t>Mongolia-Inner</t>
  </si>
  <si>
    <t>Average age at diagnosis was ~66 years ("The mean age of death was 66 years of age," p. 1110).</t>
  </si>
  <si>
    <t>Wade2009-DW4-01-20-21.xlsx</t>
  </si>
  <si>
    <r>
      <t xml:space="preserve">Average duration of drinking well water was ~9.9 years (p.1114), but authors stated that it is reasonable to assume limited relocation of the study population, so it is assumed that ADWE </t>
    </r>
    <r>
      <rPr>
        <sz val="11"/>
        <color theme="1"/>
        <rFont val="Calibri"/>
        <family val="2"/>
      </rPr>
      <t>≈</t>
    </r>
    <r>
      <rPr>
        <sz val="11"/>
        <color theme="1"/>
        <rFont val="Calibri"/>
        <family val="2"/>
        <scheme val="minor"/>
      </rPr>
      <t xml:space="preserve"> AAD.  For MC analysis (see "Doses" tab) ADWE/AAD was restricted ot be &lt;= 1.</t>
    </r>
  </si>
  <si>
    <t>Data available for iAs in food and Mongolian eating habits was limited. Estimated from table below based on an analysis of a proximate region, Taiwanese eating habits (reference Taiwanese handbook). Absorption fraction for foods was assumed to be 0.80.  Absorption fraction for cooking water was assumed to be 1.0. DI is assumed to be lognormally distributed for the purposes of the MC analysis.</t>
  </si>
  <si>
    <t>WCR in China is assumed to be similar to that of Taiwan. Thus, the natural scale mean and std entered here for WCR were computed from log-scale mean and SD values estimated for lognormal distribution that matches 5th and 95th percentiles of Taiwanese Exposure Handbook (see table below). Though natural scale means and SDs are entered here, BW and WCR are assumed to be lognormally distributed for purposes of the MC analysis.</t>
  </si>
  <si>
    <t>Median Dietary Intake, ug/kg-day</t>
  </si>
  <si>
    <t>Wade 2015</t>
  </si>
  <si>
    <t>Average age at diagnosis was ~56 years (average for cases and controls, p. 5).</t>
  </si>
  <si>
    <t>Wade2015-01-20-21.xlsx</t>
  </si>
  <si>
    <r>
      <t xml:space="preserve">Average duration of drinking well water was ~17.8 years (Table 1; "Years using at current residence"), but authors stated that it is reasonable to assume limited relocation of the study population, so it is assumed that ADWE </t>
    </r>
    <r>
      <rPr>
        <sz val="11"/>
        <color theme="1"/>
        <rFont val="Calibri"/>
        <family val="2"/>
      </rPr>
      <t>≈</t>
    </r>
    <r>
      <rPr>
        <sz val="11"/>
        <color theme="1"/>
        <rFont val="Calibri"/>
        <family val="2"/>
        <scheme val="minor"/>
      </rPr>
      <t xml:space="preserve"> AAD.  For MC analysis (see "Doses" tab) ADWE/AAD was restricted ot be &lt;= 1.</t>
    </r>
  </si>
  <si>
    <t>Data available for iAs in food and Mongolian eating habits was limited. Estimated from table in spreadsheet based on an analysis of a proximate region, Taiwanese eating habits (reference Taiwanese handbook). Absorption fraction for foods was assumed to be 0.80.  Absorption fraction for cooking water was assumed to be 1.0. DI is assumed to be lognormally distributed for the purposes of the MC analysis.</t>
  </si>
  <si>
    <t>DW Level (ug/L)</t>
  </si>
  <si>
    <t>Wang 2007</t>
  </si>
  <si>
    <t>CVD/Atherosclerosis</t>
  </si>
  <si>
    <t xml:space="preserve">According to Table 1, 53% of the cases were older than 65 years, making this an approximate midpoint.  </t>
  </si>
  <si>
    <t>Wang 2009</t>
  </si>
  <si>
    <t>Average age at diagnosis was ~55 years (authors did not report age at diagnosis, but this is the same cohort as multiple studies in this analysis), estimate based on Tables 1 and Figure 1 of Wang et al, 2002.</t>
  </si>
  <si>
    <t>Wang2009-CE5-Ln-01-20-21.xlsx</t>
  </si>
  <si>
    <t>Average duration of drinking well water was ~17.5 years (middle exposure was 15-20 years [Table 5]. ADWE is assumed to be lognormally distributed for the purposes of the MC analysis. For MC analysis (see "Doses" tab) ADWE/AAD was restricted to be &lt;= 1.</t>
  </si>
  <si>
    <t>17.5 ± 14</t>
  </si>
  <si>
    <t>DW Level (ug/L) and Cumulative Exp (ug/L-years)</t>
  </si>
  <si>
    <t>Wu 2006</t>
  </si>
  <si>
    <t xml:space="preserve">Average age at diagnosis was estimated at 65 yrs, the midpoint of the 60-69.9 age range shown in Table 2 of Wu et al. (2006).  </t>
  </si>
  <si>
    <t>The cumulative arsenic exposure was calculated as the sum of the products derived by
multiplying the arsenic concentration in well water by the years of drinking well
water during the periods of living in one's household throughout the subject's life. Reported average duration of drinking well water was 42 years (Chen 2010 lung cancer study, same cohort, p. 457).</t>
  </si>
  <si>
    <t>ADWE=RDWE. Reported average duration of drinking well water was 42 years (Chen 2010 lung cancer, same cohort, p. 457). Reported SD of duration was 15.1. RDWE is assumed to be lognormally distributed for the purposes of the MC analysis.</t>
  </si>
  <si>
    <t>Wu 2010</t>
  </si>
  <si>
    <t>Taiwan-NE (Coastal)</t>
  </si>
  <si>
    <t>Average age at diagnosis was estimated at 68 yrs, ~62 yrs (1991-1994 baseline; Table 1; see calculations below) + ~6 yrs to examination (1997-1998; p. 2).</t>
  </si>
  <si>
    <t>Wu2010-NE-DW4-01-20-21.xlsx</t>
  </si>
  <si>
    <t>This cohort was exposed to well water concentrations for most of their lives, but Chiou et al., (1997) stated that "the implementation of a tap-water system was begun in the study area in the 1990s," presumably between the study start-up in 1991 and the end of the follow-up period in 1998. For the purposes of this analysis, we assume here that, on average, subjects received well exposure for about half the follow-up period, at an average age of 65 years, ~62 yrs (1991-1994 baseline; Table 1; see calculations below) + ~3 yrs. For MC analysis (see "Doses" tab) ADWE/AAD was restricted ot be &lt;= 1.</t>
  </si>
  <si>
    <t>Estimated from table in spreadsheet based on an analysis of Taiwanese eating habits (see below from reference Taiwanese handbook). Absorption fraction for foods was assumed to be 0.80.  Absorption fraction for cooking water was assumed to be 1.0. DI is assumed to be lognormally distributed for the purposes of the MC analysis.</t>
  </si>
  <si>
    <t>Though a natural scale mean and SD is entered here, WCR is assumed to be lognormally distributed for purposes of the MC analysis (see "Doses" worksheets). The natural scale mean and std entered here were computed from log-scale mean and SD values estimated for lognormal distribution that matches 5th and 95th percentiles for average males+females in the table below.</t>
  </si>
  <si>
    <t>Wu et al. (2010), all subjects subject with S allele, subjects without S allele, carotid atherosclerosis; case control; LangYang Basin</t>
  </si>
  <si>
    <r>
      <t>Water Consumption</t>
    </r>
    <r>
      <rPr>
        <b/>
        <vertAlign val="superscript"/>
        <sz val="11"/>
        <color theme="1"/>
        <rFont val="Calibri"/>
        <family val="2"/>
        <scheme val="minor"/>
      </rPr>
      <t>8</t>
    </r>
  </si>
  <si>
    <t>8 -EPA used the Taiwanese Exposure Handbook for these estimations, but it was determined that the drinking water consumption data were collected in December, a cool month.  To correct for increased consumption rates anticipated in warmer months, EPA multiplied the water intake estimates given in the handbook by 1.5, with the exception that the maximum (100th percentile) water intake would never exceed 6 L for an average weight (62.5 kg) subject.  The new values are shown below.</t>
  </si>
  <si>
    <t>Wu2010-SW-DW4-01-20-21.xlsx</t>
  </si>
  <si>
    <t>Average duration of drinking well water is estimated at ~20 years (consistent with previous reports for this cohort; also, see note in spreadsheet) . For MC analysis (see "Doses" tab) ADWE/AAD was restricted ot be &lt;= 1.</t>
  </si>
  <si>
    <t>1.45 ± 0.33</t>
  </si>
  <si>
    <t>Residents in these three villages began using arsenic-tainted artesian (&gt; 300 m) well water in the early 1910s..A public water supply system was introduced in the early 1960s, and the artesian well water was no longer used after the mid-1970s. The ultrasonographic assessment of ECCA atherosclerosis was conducted in 1996, when average age was 51-60 (Figure  1 Wang et al, 2002)</t>
  </si>
  <si>
    <t>62.56 ± 13.5</t>
  </si>
  <si>
    <t>Wu 2013</t>
  </si>
  <si>
    <t>Wu2013_U&amp;Isim_nolookup-01-12-21.xlsx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</si>
</sst>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66" formatCode="0.0000"/>
  </numFmts>
  <fonts count="29">
    <font>
      <sz val="11"/>
      <color theme="1"/>
      <name val="Calibri"/>
      <family val="2"/>
      <scheme val="minor"/>
    </font>
    <font>
      <sz val="11"/>
      <color theme="1"/>
      <name val="Calibri"/>
      <scheme val="minor"/>
    </font>
    <font>
      <b/>
      <sz val="11"/>
      <color theme="1"/>
      <name val="Calibri"/>
      <family val="2"/>
    </font>
    <font>
      <b/>
      <sz val="11"/>
      <color theme="1"/>
      <name val="Calibri"/>
      <family val="2"/>
      <scheme val="minor"/>
    </font>
    <font>
      <sz val="11"/>
      <color rgb="FFFF0000"/>
      <name val="Calibri"/>
      <family val="2"/>
      <scheme val="minor"/>
    </font>
    <font>
      <sz val="11"/>
      <color rgb="FF7030A0"/>
      <name val="Calibri"/>
      <family val="2"/>
      <scheme val="minor"/>
    </font>
    <font>
      <sz val="8"/>
      <color theme="1"/>
      <name val="Calibri"/>
      <family val="2"/>
      <scheme val="minor"/>
    </font>
    <font>
      <vertAlign val="subscript"/>
      <sz val="11"/>
      <color theme="1"/>
      <name val="Calibri"/>
      <family val="2"/>
      <scheme val="minor"/>
    </font>
    <font>
      <sz val="11"/>
      <color theme="1"/>
      <name val="Calibri"/>
      <family val="2"/>
    </font>
    <font>
      <sz val="11"/>
      <name val="Calibri"/>
      <family val="2"/>
      <scheme val="minor"/>
    </font>
    <font>
      <sz val="13.2"/>
      <color theme="1"/>
      <name val="Calibri"/>
      <family val="2"/>
    </font>
    <font>
      <sz val="11"/>
      <color theme="1"/>
      <name val="Calibri"/>
      <family val="2"/>
      <scheme val="minor"/>
    </font>
    <font>
      <b/>
      <vertAlign val="superscript"/>
      <sz val="11"/>
      <color theme="1"/>
      <name val="Calibri"/>
      <family val="2"/>
      <scheme val="minor"/>
    </font>
    <font>
      <b/>
      <sz val="9"/>
      <color indexed="81"/>
      <name val="Tahoma"/>
      <family val="2"/>
    </font>
    <font>
      <sz val="9"/>
      <color indexed="81"/>
      <name val="Tahoma"/>
      <family val="2"/>
    </font>
    <font>
      <sz val="11"/>
      <color rgb="FF3F3F76"/>
      <name val="Calibri"/>
      <family val="2"/>
      <scheme val="minor"/>
    </font>
    <font>
      <b/>
      <sz val="11"/>
      <color rgb="FF3F3F3F"/>
      <name val="Calibri"/>
      <family val="2"/>
      <scheme val="minor"/>
    </font>
    <font>
      <b/>
      <sz val="11"/>
      <color rgb="FFFA7D00"/>
      <name val="Calibri"/>
      <family val="2"/>
      <scheme val="minor"/>
    </font>
    <font>
      <sz val="8"/>
      <name val="Calibri"/>
      <family val="2"/>
      <scheme val="minor"/>
    </font>
    <font>
      <b/>
      <sz val="11"/>
      <color theme="1"/>
      <name val="Times New Roman"/>
      <family val="1"/>
    </font>
    <font>
      <sz val="11"/>
      <color theme="1"/>
      <name val="Times New Roman"/>
      <family val="1"/>
    </font>
    <font>
      <sz val="11"/>
      <color theme="1"/>
      <name val="Symbol"/>
      <family val="1"/>
      <charset val="2"/>
    </font>
    <font>
      <sz val="12"/>
      <color theme="1"/>
      <name val="Cambria"/>
      <family val="1"/>
    </font>
    <font>
      <b/>
      <sz val="11"/>
      <color rgb="FF000000"/>
      <name val="Times New Roman"/>
      <family val="1"/>
    </font>
    <font>
      <sz val="11"/>
      <color rgb="FF000000"/>
      <name val="Times New Roman"/>
      <family val="1"/>
    </font>
    <font>
      <sz val="11"/>
      <color rgb="FF000000"/>
      <name val="Calibri"/>
      <scheme val="minor"/>
    </font>
    <font>
      <sz val="11"/>
      <color rgb="FF000000"/>
      <name val="Calibri"/>
    </font>
    <font>
      <sz val="13.2"/>
      <color rgb="FF000000"/>
      <name val="Calibri"/>
    </font>
    <font>
      <sz val="11"/>
      <color rgb="FF7030A0"/>
      <name val="Calibri"/>
      <scheme val="minor"/>
    </font>
  </fonts>
  <fills count="9">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rgb="FF00B0F0"/>
        <bgColor indexed="64"/>
      </patternFill>
    </fill>
    <fill>
      <patternFill patternType="solid">
        <fgColor theme="4" tint="0.59999389629810485"/>
        <bgColor indexed="64"/>
      </patternFill>
    </fill>
    <fill>
      <patternFill patternType="solid">
        <fgColor rgb="FFFFCC99"/>
      </patternFill>
    </fill>
    <fill>
      <patternFill patternType="solid">
        <fgColor rgb="FFF2F2F2"/>
      </patternFill>
    </fill>
    <fill>
      <patternFill patternType="solid">
        <fgColor rgb="FF92D050"/>
        <bgColor indexed="64"/>
      </patternFill>
    </fill>
  </fills>
  <borders count="14">
    <border>
      <left/>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3743705557422"/>
      </right>
      <top style="thin">
        <color theme="0" tint="-0.14996795556505021"/>
      </top>
      <bottom style="thin">
        <color theme="0" tint="-0.14996795556505021"/>
      </bottom>
      <diagonal/>
    </border>
    <border>
      <left style="thin">
        <color theme="0" tint="-0.14993743705557422"/>
      </left>
      <right style="thin">
        <color theme="0" tint="-0.14993743705557422"/>
      </right>
      <top style="thin">
        <color theme="0" tint="-0.14996795556505021"/>
      </top>
      <bottom style="thin">
        <color theme="0" tint="-0.14996795556505021"/>
      </bottom>
      <diagonal/>
    </border>
    <border>
      <left style="thin">
        <color theme="0" tint="-0.14993743705557422"/>
      </left>
      <right style="thin">
        <color theme="0" tint="-0.14996795556505021"/>
      </right>
      <top style="thin">
        <color theme="0" tint="-0.14996795556505021"/>
      </top>
      <bottom style="thin">
        <color theme="0" tint="-0.14996795556505021"/>
      </bottom>
      <diagonal/>
    </border>
    <border>
      <left/>
      <right/>
      <top style="medium">
        <color auto="1"/>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top/>
      <bottom style="medium">
        <color indexed="64"/>
      </bottom>
      <diagonal/>
    </border>
  </borders>
  <cellStyleXfs count="5">
    <xf numFmtId="0" fontId="0" fillId="0" borderId="0"/>
    <xf numFmtId="9" fontId="11" fillId="0" borderId="0" applyFont="0" applyFill="0" applyBorder="0" applyAlignment="0" applyProtection="0"/>
    <xf numFmtId="0" fontId="15" fillId="6" borderId="7" applyNumberFormat="0" applyAlignment="0" applyProtection="0"/>
    <xf numFmtId="0" fontId="16" fillId="7" borderId="8" applyNumberFormat="0" applyAlignment="0" applyProtection="0"/>
    <xf numFmtId="0" fontId="17" fillId="7" borderId="7" applyNumberFormat="0" applyAlignment="0" applyProtection="0"/>
  </cellStyleXfs>
  <cellXfs count="110">
    <xf numFmtId="0" fontId="0" fillId="0" borderId="0" xfId="0"/>
    <xf numFmtId="0" fontId="0" fillId="0" borderId="0" xfId="0" applyBorder="1" applyAlignment="1">
      <alignment vertical="center" wrapText="1"/>
    </xf>
    <xf numFmtId="0" fontId="0" fillId="0" borderId="0" xfId="0" applyBorder="1" applyAlignment="1">
      <alignment horizontal="center" vertical="center" wrapText="1"/>
    </xf>
    <xf numFmtId="1" fontId="0" fillId="0" borderId="0" xfId="0" applyNumberFormat="1" applyBorder="1" applyAlignment="1">
      <alignment horizontal="center" vertical="center" wrapText="1"/>
    </xf>
    <xf numFmtId="2" fontId="0" fillId="0" borderId="0" xfId="0" applyNumberFormat="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0" borderId="0" xfId="0" applyAlignment="1">
      <alignment vertical="center" wrapText="1"/>
    </xf>
    <xf numFmtId="0" fontId="0" fillId="0" borderId="1" xfId="0" applyBorder="1" applyAlignment="1">
      <alignment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0" fontId="2" fillId="2" borderId="3" xfId="0" applyFont="1" applyFill="1" applyBorder="1" applyAlignment="1">
      <alignment horizontal="left" vertical="center" wrapText="1"/>
    </xf>
    <xf numFmtId="0" fontId="0" fillId="0" borderId="0" xfId="0" applyBorder="1" applyAlignment="1">
      <alignment horizontal="left" vertical="center" wrapText="1"/>
    </xf>
    <xf numFmtId="2" fontId="0" fillId="0" borderId="0" xfId="0" applyNumberFormat="1" applyAlignment="1">
      <alignment horizontal="center" vertical="center" wrapText="1"/>
    </xf>
    <xf numFmtId="1" fontId="0" fillId="0" borderId="0" xfId="0" applyNumberFormat="1"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1" xfId="0" applyBorder="1" applyAlignment="1">
      <alignment vertical="center"/>
    </xf>
    <xf numFmtId="1" fontId="0" fillId="0" borderId="1" xfId="0" applyNumberFormat="1" applyBorder="1" applyAlignment="1">
      <alignment horizontal="center" vertical="center" wrapText="1"/>
    </xf>
    <xf numFmtId="0" fontId="0" fillId="0" borderId="0" xfId="0" applyBorder="1" applyAlignment="1">
      <alignment vertical="center"/>
    </xf>
    <xf numFmtId="0" fontId="9" fillId="0" borderId="1" xfId="0" applyFont="1" applyBorder="1" applyAlignment="1">
      <alignment vertical="center" wrapText="1"/>
    </xf>
    <xf numFmtId="0" fontId="0" fillId="3" borderId="0" xfId="0" applyFill="1" applyBorder="1" applyAlignment="1">
      <alignment horizontal="center" vertical="center" wrapText="1"/>
    </xf>
    <xf numFmtId="0" fontId="0" fillId="0" borderId="0" xfId="0" applyFill="1" applyBorder="1" applyAlignment="1">
      <alignment vertical="center" wrapText="1"/>
    </xf>
    <xf numFmtId="0" fontId="0" fillId="3" borderId="0" xfId="0" applyFill="1" applyAlignment="1">
      <alignment horizontal="center" vertical="center" wrapText="1"/>
    </xf>
    <xf numFmtId="0" fontId="0" fillId="3" borderId="1" xfId="0" applyFill="1" applyBorder="1" applyAlignment="1">
      <alignment horizontal="center" vertical="center" wrapText="1"/>
    </xf>
    <xf numFmtId="0" fontId="0" fillId="3" borderId="0" xfId="0" applyFill="1" applyAlignment="1">
      <alignment vertical="center" wrapText="1"/>
    </xf>
    <xf numFmtId="0" fontId="9" fillId="0" borderId="0" xfId="0" applyFont="1" applyBorder="1" applyAlignment="1">
      <alignment vertical="center" wrapText="1"/>
    </xf>
    <xf numFmtId="0" fontId="9" fillId="0" borderId="0" xfId="0" applyFont="1" applyAlignment="1">
      <alignment vertical="center" wrapText="1"/>
    </xf>
    <xf numFmtId="0" fontId="0" fillId="4" borderId="0" xfId="0" applyFill="1" applyBorder="1" applyAlignment="1">
      <alignment vertical="center" wrapText="1"/>
    </xf>
    <xf numFmtId="0" fontId="3" fillId="0" borderId="0" xfId="0" applyFont="1"/>
    <xf numFmtId="9" fontId="0" fillId="0" borderId="0" xfId="0" applyNumberFormat="1"/>
    <xf numFmtId="3" fontId="0" fillId="0" borderId="0" xfId="0" applyNumberFormat="1"/>
    <xf numFmtId="2" fontId="0" fillId="0" borderId="0" xfId="0" applyNumberFormat="1"/>
    <xf numFmtId="0" fontId="0" fillId="0" borderId="5" xfId="0" applyBorder="1" applyAlignment="1">
      <alignment horizontal="right"/>
    </xf>
    <xf numFmtId="0" fontId="0" fillId="0" borderId="0" xfId="0" applyAlignment="1">
      <alignment horizontal="right"/>
    </xf>
    <xf numFmtId="0" fontId="0" fillId="0" borderId="0" xfId="0" applyAlignment="1">
      <alignment horizontal="center" vertical="center"/>
    </xf>
    <xf numFmtId="2" fontId="0" fillId="0" borderId="0" xfId="1" applyNumberFormat="1" applyFont="1"/>
    <xf numFmtId="164" fontId="0" fillId="0" borderId="0" xfId="0" applyNumberFormat="1"/>
    <xf numFmtId="165" fontId="0" fillId="0" borderId="6" xfId="0" applyNumberFormat="1" applyBorder="1" applyAlignment="1">
      <alignment horizontal="center"/>
    </xf>
    <xf numFmtId="165" fontId="0" fillId="0" borderId="0" xfId="0" applyNumberFormat="1"/>
    <xf numFmtId="164" fontId="0" fillId="0" borderId="0" xfId="0" applyNumberFormat="1" applyAlignment="1">
      <alignment horizontal="center"/>
    </xf>
    <xf numFmtId="166" fontId="0" fillId="0" borderId="0" xfId="0" applyNumberFormat="1"/>
    <xf numFmtId="164" fontId="0" fillId="5" borderId="0" xfId="0" applyNumberFormat="1" applyFill="1" applyAlignment="1">
      <alignment horizontal="center"/>
    </xf>
    <xf numFmtId="166" fontId="0" fillId="0" borderId="0" xfId="0" applyNumberFormat="1" applyAlignment="1">
      <alignment horizontal="right"/>
    </xf>
    <xf numFmtId="0" fontId="0" fillId="0" borderId="0" xfId="0" applyFill="1" applyAlignment="1">
      <alignment horizontal="center" vertical="center" wrapText="1"/>
    </xf>
    <xf numFmtId="0" fontId="0" fillId="0" borderId="1" xfId="0" applyFill="1" applyBorder="1" applyAlignment="1">
      <alignment horizontal="center" vertical="center" wrapText="1"/>
    </xf>
    <xf numFmtId="0" fontId="0" fillId="0" borderId="0" xfId="0" applyFill="1" applyBorder="1" applyAlignment="1">
      <alignment horizontal="center" vertical="center" wrapText="1"/>
    </xf>
    <xf numFmtId="0" fontId="3" fillId="0" borderId="0" xfId="0" applyFont="1" applyAlignment="1">
      <alignment horizontal="left"/>
    </xf>
    <xf numFmtId="0" fontId="0" fillId="0" borderId="0" xfId="0" applyAlignment="1">
      <alignment horizontal="right" wrapText="1"/>
    </xf>
    <xf numFmtId="0" fontId="0" fillId="0" borderId="0" xfId="0" applyAlignment="1">
      <alignment wrapText="1"/>
    </xf>
    <xf numFmtId="165" fontId="0" fillId="0" borderId="0" xfId="0" applyNumberFormat="1" applyAlignment="1">
      <alignment horizontal="center"/>
    </xf>
    <xf numFmtId="0" fontId="0" fillId="8" borderId="0" xfId="0" applyFill="1"/>
    <xf numFmtId="0" fontId="15" fillId="6" borderId="7" xfId="2"/>
    <xf numFmtId="0" fontId="15" fillId="6" borderId="7" xfId="2" applyAlignment="1">
      <alignment horizontal="center" vertical="center" wrapText="1"/>
    </xf>
    <xf numFmtId="164" fontId="17" fillId="7" borderId="7" xfId="4" applyNumberFormat="1"/>
    <xf numFmtId="0" fontId="3" fillId="0" borderId="0" xfId="0" applyFont="1" applyAlignment="1">
      <alignment horizontal="right"/>
    </xf>
    <xf numFmtId="164" fontId="16" fillId="7" borderId="8" xfId="3" applyNumberFormat="1"/>
    <xf numFmtId="0" fontId="16" fillId="7" borderId="8" xfId="3"/>
    <xf numFmtId="165" fontId="0" fillId="0" borderId="0" xfId="0" applyNumberFormat="1" applyAlignment="1">
      <alignment horizontal="center" vertical="center"/>
    </xf>
    <xf numFmtId="0" fontId="3" fillId="0" borderId="0" xfId="0" applyFont="1" applyAlignment="1">
      <alignment wrapText="1"/>
    </xf>
    <xf numFmtId="0" fontId="0" fillId="0" borderId="0" xfId="0" applyFill="1" applyBorder="1" applyAlignment="1">
      <alignment horizontal="left" vertical="center" wrapText="1"/>
    </xf>
    <xf numFmtId="0" fontId="3" fillId="0" borderId="0" xfId="0" applyFont="1" applyFill="1"/>
    <xf numFmtId="0" fontId="0" fillId="0" borderId="0" xfId="0" applyFill="1"/>
    <xf numFmtId="0" fontId="0" fillId="0" borderId="0" xfId="0" applyFill="1" applyAlignment="1">
      <alignment vertical="center" wrapText="1"/>
    </xf>
    <xf numFmtId="2" fontId="0" fillId="0" borderId="0" xfId="0" applyNumberFormat="1" applyFill="1"/>
    <xf numFmtId="0" fontId="0" fillId="0" borderId="0" xfId="0" applyFill="1" applyAlignment="1">
      <alignment horizontal="right"/>
    </xf>
    <xf numFmtId="0" fontId="0" fillId="0" borderId="0" xfId="0" applyFill="1" applyAlignment="1">
      <alignment horizontal="center"/>
    </xf>
    <xf numFmtId="0" fontId="0" fillId="0" borderId="5" xfId="0" applyFill="1" applyBorder="1" applyAlignment="1">
      <alignment horizontal="right"/>
    </xf>
    <xf numFmtId="0" fontId="3" fillId="0" borderId="0" xfId="0" applyFont="1" applyFill="1" applyAlignment="1">
      <alignment wrapText="1"/>
    </xf>
    <xf numFmtId="9" fontId="0" fillId="0" borderId="0" xfId="0" applyNumberFormat="1" applyFill="1"/>
    <xf numFmtId="3" fontId="0" fillId="0" borderId="0" xfId="0" applyNumberFormat="1" applyFill="1"/>
    <xf numFmtId="0" fontId="0" fillId="0" borderId="0" xfId="0" applyFill="1" applyAlignment="1">
      <alignment horizontal="left" vertical="center" wrapText="1"/>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6" xfId="0" applyBorder="1"/>
    <xf numFmtId="2" fontId="0" fillId="0" borderId="6" xfId="0" applyNumberFormat="1" applyBorder="1" applyAlignment="1">
      <alignment horizontal="center"/>
    </xf>
    <xf numFmtId="2" fontId="0" fillId="5" borderId="6" xfId="0" applyNumberFormat="1" applyFill="1" applyBorder="1" applyAlignment="1">
      <alignment horizontal="center"/>
    </xf>
    <xf numFmtId="0" fontId="0" fillId="3" borderId="0" xfId="0" applyFill="1" applyBorder="1" applyAlignment="1">
      <alignment vertical="center" wrapText="1"/>
    </xf>
    <xf numFmtId="0" fontId="0" fillId="0" borderId="1" xfId="0" applyFill="1" applyBorder="1" applyAlignment="1">
      <alignment vertical="center" wrapText="1"/>
    </xf>
    <xf numFmtId="0" fontId="9" fillId="0" borderId="1" xfId="0" applyFont="1" applyFill="1" applyBorder="1" applyAlignment="1">
      <alignment vertical="center" wrapText="1"/>
    </xf>
    <xf numFmtId="0" fontId="0" fillId="0" borderId="9" xfId="0" applyBorder="1" applyAlignment="1">
      <alignment horizontal="left"/>
    </xf>
    <xf numFmtId="0" fontId="19" fillId="0" borderId="0" xfId="0" applyFont="1" applyAlignment="1">
      <alignment vertical="center"/>
    </xf>
    <xf numFmtId="0" fontId="20" fillId="0" borderId="0" xfId="0" applyFont="1" applyAlignment="1">
      <alignment vertical="center"/>
    </xf>
    <xf numFmtId="0" fontId="22" fillId="0" borderId="12" xfId="0" applyFont="1" applyBorder="1" applyAlignment="1">
      <alignment vertical="center"/>
    </xf>
    <xf numFmtId="0" fontId="23" fillId="0" borderId="12" xfId="0" applyFont="1" applyBorder="1" applyAlignment="1">
      <alignment horizontal="center" vertical="center"/>
    </xf>
    <xf numFmtId="0" fontId="24" fillId="0" borderId="0" xfId="0" applyFont="1" applyAlignment="1">
      <alignment vertical="center"/>
    </xf>
    <xf numFmtId="0" fontId="24" fillId="0" borderId="0" xfId="0" applyFont="1" applyAlignment="1">
      <alignment horizontal="center" vertical="center"/>
    </xf>
    <xf numFmtId="0" fontId="24" fillId="0" borderId="13" xfId="0" applyFont="1" applyBorder="1" applyAlignment="1">
      <alignment vertical="center"/>
    </xf>
    <xf numFmtId="0" fontId="24" fillId="0" borderId="13" xfId="0" applyFont="1" applyBorder="1" applyAlignment="1">
      <alignment horizontal="center" vertical="center"/>
    </xf>
    <xf numFmtId="49" fontId="0" fillId="0" borderId="0" xfId="0" applyNumberFormat="1" applyAlignment="1">
      <alignment horizontal="right"/>
    </xf>
    <xf numFmtId="0" fontId="9" fillId="3" borderId="0" xfId="0" applyFont="1" applyFill="1" applyBorder="1" applyAlignment="1">
      <alignment vertical="center" wrapText="1"/>
    </xf>
    <xf numFmtId="0" fontId="0" fillId="0" borderId="0" xfId="0" applyAlignment="1">
      <alignment vertical="center" wrapText="1"/>
    </xf>
    <xf numFmtId="0" fontId="0" fillId="0" borderId="0" xfId="0" applyBorder="1" applyAlignment="1">
      <alignment vertical="center" wrapText="1"/>
    </xf>
    <xf numFmtId="0" fontId="0" fillId="0" borderId="0" xfId="0" applyAlignment="1">
      <alignment vertical="center" wrapText="1"/>
    </xf>
    <xf numFmtId="0" fontId="0" fillId="0" borderId="0" xfId="0" applyBorder="1" applyAlignment="1">
      <alignment vertical="center" wrapText="1"/>
    </xf>
    <xf numFmtId="0" fontId="0" fillId="0" borderId="0" xfId="0" applyAlignment="1">
      <alignment vertical="center" wrapText="1"/>
    </xf>
    <xf numFmtId="0" fontId="0" fillId="0" borderId="0" xfId="0" applyBorder="1" applyAlignment="1">
      <alignment vertical="center" wrapText="1"/>
    </xf>
    <xf numFmtId="0" fontId="0" fillId="0" borderId="0" xfId="0" applyAlignment="1">
      <alignment vertical="center" wrapText="1"/>
    </xf>
    <xf numFmtId="0" fontId="26" fillId="4" borderId="0" xfId="0" applyFont="1" applyFill="1" applyBorder="1" applyAlignment="1">
      <alignment vertical="center" wrapText="1"/>
    </xf>
    <xf numFmtId="0" fontId="0" fillId="0" borderId="0" xfId="0" applyBorder="1" applyAlignment="1">
      <alignment vertical="center" wrapText="1"/>
    </xf>
    <xf numFmtId="0" fontId="0" fillId="0" borderId="0" xfId="0" applyAlignment="1">
      <alignment vertical="center" wrapText="1"/>
    </xf>
    <xf numFmtId="0" fontId="0" fillId="0" borderId="0" xfId="0" applyBorder="1" applyAlignment="1">
      <alignment vertical="center" wrapText="1"/>
    </xf>
    <xf numFmtId="0" fontId="0" fillId="0" borderId="0" xfId="0" applyAlignment="1">
      <alignment vertical="center" wrapText="1"/>
    </xf>
    <xf numFmtId="0" fontId="0" fillId="0" borderId="0" xfId="0" applyAlignment="1">
      <alignment horizontal="center"/>
    </xf>
    <xf numFmtId="0" fontId="0" fillId="0" borderId="0" xfId="0" applyBorder="1" applyAlignment="1">
      <alignment vertical="center" wrapText="1"/>
    </xf>
    <xf numFmtId="0" fontId="0" fillId="0" borderId="0" xfId="0" applyAlignment="1">
      <alignment vertical="center" wrapText="1"/>
    </xf>
    <xf numFmtId="0" fontId="1" fillId="0" borderId="1" xfId="0" applyFont="1" applyBorder="1" applyAlignment="1">
      <alignment vertical="center" wrapText="1"/>
    </xf>
    <xf numFmtId="0" fontId="1" fillId="0" borderId="0" xfId="0" applyFont="1" applyAlignment="1">
      <alignment vertical="center" wrapText="1"/>
    </xf>
  </cellXfs>
  <cellStyles count="5">
    <cellStyle name="Calculation" xfId="4" builtinId="22"/>
    <cellStyle name="Input" xfId="2" builtinId="20"/>
    <cellStyle name="Normal" xfId="0" builtinId="0"/>
    <cellStyle name="Output" xfId="3" builtinId="21"/>
    <cellStyle name="Percent" xfId="1" builtinId="5"/>
  </cellStyles>
  <dxfs count="0"/>
  <tableStyles count="0" defaultTableStyle="TableStyleMedium2"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55"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ustomXml" Target="../customXml/item3.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ustomXml" Target="../customXml/item4.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AB2EB-0B7E-4A9D-BA55-6578289FFA93}">
  <dimension ref="A1:J4"/>
  <sheetViews>
    <sheetView workbookViewId="0">
      <selection activeCell="H2" sqref="H2"/>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45" customHeight="1">
      <c r="A2" s="103" t="s">
        <v>10</v>
      </c>
      <c r="B2" s="16" t="s">
        <v>11</v>
      </c>
      <c r="C2" s="103" t="s">
        <v>12</v>
      </c>
      <c r="D2" s="2" t="s">
        <v>13</v>
      </c>
      <c r="E2" s="103" t="s">
        <v>14</v>
      </c>
      <c r="F2" s="103" t="s">
        <v>15</v>
      </c>
      <c r="G2" s="103" t="s">
        <v>16</v>
      </c>
      <c r="H2" s="103" t="s">
        <v>17</v>
      </c>
      <c r="I2" s="103" t="s">
        <v>18</v>
      </c>
      <c r="J2" s="104"/>
    </row>
    <row r="3" spans="1:10" ht="30.75">
      <c r="A3" s="103" t="s">
        <v>10</v>
      </c>
      <c r="B3" s="13" t="s">
        <v>19</v>
      </c>
      <c r="C3" s="103" t="s">
        <v>20</v>
      </c>
      <c r="D3" s="2" t="s">
        <v>21</v>
      </c>
      <c r="E3" s="103" t="s">
        <v>14</v>
      </c>
      <c r="F3" s="103" t="s">
        <v>15</v>
      </c>
      <c r="G3" s="103" t="s">
        <v>16</v>
      </c>
      <c r="H3" s="9" t="s">
        <v>22</v>
      </c>
      <c r="I3" s="103" t="s">
        <v>18</v>
      </c>
      <c r="J3" s="104"/>
    </row>
    <row r="4" spans="1:10" ht="28.9">
      <c r="A4" s="103" t="s">
        <v>10</v>
      </c>
      <c r="B4" s="13" t="s">
        <v>23</v>
      </c>
      <c r="C4" s="103" t="s">
        <v>24</v>
      </c>
      <c r="D4" s="2" t="s">
        <v>25</v>
      </c>
      <c r="E4" s="103" t="s">
        <v>14</v>
      </c>
      <c r="F4" s="103" t="s">
        <v>15</v>
      </c>
      <c r="G4" s="103" t="s">
        <v>16</v>
      </c>
      <c r="H4" s="9" t="s">
        <v>26</v>
      </c>
      <c r="I4" s="103" t="s">
        <v>18</v>
      </c>
      <c r="J4" s="104"/>
    </row>
  </sheetData>
  <autoFilter ref="A1:I4" xr:uid="{8E9D7E18-A9B3-4191-9DBB-B80908E44EFC}">
    <sortState xmlns:xlrd2="http://schemas.microsoft.com/office/spreadsheetml/2017/richdata2" ref="A2:I4">
      <sortCondition ref="E1:E4"/>
    </sortState>
  </autoFilter>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DF7AE-FB26-4447-BBA7-20B1BE59038B}">
  <dimension ref="A1:J4"/>
  <sheetViews>
    <sheetView workbookViewId="0">
      <selection activeCell="H4" sqref="H4"/>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45.75">
      <c r="A2" s="104" t="s">
        <v>10</v>
      </c>
      <c r="B2" s="16" t="s">
        <v>11</v>
      </c>
      <c r="C2" s="18" t="s">
        <v>229</v>
      </c>
      <c r="D2" s="11" t="s">
        <v>13</v>
      </c>
      <c r="E2" s="9" t="s">
        <v>230</v>
      </c>
      <c r="F2" s="9" t="s">
        <v>15</v>
      </c>
      <c r="G2" s="9" t="s">
        <v>154</v>
      </c>
      <c r="H2" s="9" t="s">
        <v>231</v>
      </c>
      <c r="I2" s="104" t="s">
        <v>232</v>
      </c>
      <c r="J2" s="104"/>
    </row>
    <row r="3" spans="1:10" ht="30.75">
      <c r="A3" s="104" t="s">
        <v>10</v>
      </c>
      <c r="B3" s="16" t="s">
        <v>19</v>
      </c>
      <c r="C3" s="18" t="s">
        <v>20</v>
      </c>
      <c r="D3" s="2" t="s">
        <v>21</v>
      </c>
      <c r="E3" s="9" t="s">
        <v>230</v>
      </c>
      <c r="F3" s="9" t="s">
        <v>15</v>
      </c>
      <c r="G3" s="9" t="s">
        <v>154</v>
      </c>
      <c r="H3" s="9" t="s">
        <v>22</v>
      </c>
      <c r="I3" s="104" t="s">
        <v>232</v>
      </c>
      <c r="J3" s="104"/>
    </row>
    <row r="4" spans="1:10" ht="28.9">
      <c r="A4" s="104" t="s">
        <v>10</v>
      </c>
      <c r="B4" s="16" t="s">
        <v>23</v>
      </c>
      <c r="C4" s="18" t="s">
        <v>24</v>
      </c>
      <c r="D4" s="11" t="s">
        <v>25</v>
      </c>
      <c r="E4" s="9" t="s">
        <v>230</v>
      </c>
      <c r="F4" s="9" t="s">
        <v>15</v>
      </c>
      <c r="G4" s="9" t="s">
        <v>154</v>
      </c>
      <c r="H4" s="9" t="s">
        <v>26</v>
      </c>
      <c r="I4" s="104" t="s">
        <v>232</v>
      </c>
      <c r="J4" s="104"/>
    </row>
  </sheetData>
  <autoFilter ref="A1:I4" xr:uid="{8E9D7E18-A9B3-4191-9DBB-B80908E44EFC}">
    <sortState xmlns:xlrd2="http://schemas.microsoft.com/office/spreadsheetml/2017/richdata2" ref="A2:I4">
      <sortCondition ref="E1:E4"/>
    </sortState>
  </autoFilter>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D7D39-3C7C-4289-B899-7D6E7BB8B232}">
  <dimension ref="A1:J22"/>
  <sheetViews>
    <sheetView workbookViewId="0">
      <selection activeCell="B5" sqref="B5"/>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43.15">
      <c r="A2" s="104" t="s">
        <v>96</v>
      </c>
      <c r="B2" s="16" t="s">
        <v>28</v>
      </c>
      <c r="C2" s="9" t="s">
        <v>29</v>
      </c>
      <c r="D2" s="11">
        <v>50</v>
      </c>
      <c r="E2" s="9" t="s">
        <v>233</v>
      </c>
      <c r="F2" s="9" t="s">
        <v>15</v>
      </c>
      <c r="G2" s="9" t="s">
        <v>154</v>
      </c>
      <c r="H2" s="9" t="s">
        <v>234</v>
      </c>
      <c r="I2" s="104" t="s">
        <v>235</v>
      </c>
      <c r="J2" s="104"/>
    </row>
    <row r="3" spans="1:10" ht="43.15">
      <c r="A3" s="104" t="s">
        <v>96</v>
      </c>
      <c r="B3" s="16" t="s">
        <v>35</v>
      </c>
      <c r="C3" s="9" t="s">
        <v>36</v>
      </c>
      <c r="D3" s="11">
        <v>50</v>
      </c>
      <c r="E3" s="9" t="s">
        <v>233</v>
      </c>
      <c r="F3" s="9" t="s">
        <v>15</v>
      </c>
      <c r="G3" s="9" t="s">
        <v>154</v>
      </c>
      <c r="H3" s="9" t="s">
        <v>236</v>
      </c>
      <c r="I3" s="104" t="s">
        <v>235</v>
      </c>
      <c r="J3" s="104"/>
    </row>
    <row r="4" spans="1:10" ht="28.9">
      <c r="A4" s="104" t="s">
        <v>96</v>
      </c>
      <c r="B4" s="16" t="s">
        <v>43</v>
      </c>
      <c r="C4" s="9" t="s">
        <v>44</v>
      </c>
      <c r="D4" s="19" t="s">
        <v>158</v>
      </c>
      <c r="E4" s="9" t="s">
        <v>233</v>
      </c>
      <c r="F4" s="9" t="s">
        <v>15</v>
      </c>
      <c r="G4" s="9" t="s">
        <v>154</v>
      </c>
      <c r="H4" s="103" t="s">
        <v>237</v>
      </c>
      <c r="I4" s="104" t="s">
        <v>235</v>
      </c>
      <c r="J4" s="104"/>
    </row>
    <row r="5" spans="1:10" ht="89.45">
      <c r="A5" s="104" t="s">
        <v>96</v>
      </c>
      <c r="B5" s="16" t="s">
        <v>47</v>
      </c>
      <c r="C5" s="9" t="s">
        <v>95</v>
      </c>
      <c r="D5" s="45" t="s">
        <v>49</v>
      </c>
      <c r="E5" s="9" t="s">
        <v>233</v>
      </c>
      <c r="F5" s="9" t="s">
        <v>15</v>
      </c>
      <c r="G5" s="9" t="s">
        <v>154</v>
      </c>
      <c r="H5" s="29" t="s">
        <v>238</v>
      </c>
      <c r="I5" s="104" t="s">
        <v>235</v>
      </c>
      <c r="J5" s="104"/>
    </row>
    <row r="6" spans="1:10" ht="63" customHeight="1">
      <c r="A6" s="104" t="s">
        <v>96</v>
      </c>
      <c r="B6" s="16" t="s">
        <v>51</v>
      </c>
      <c r="C6" s="9" t="s">
        <v>52</v>
      </c>
      <c r="D6" s="19" t="s">
        <v>239</v>
      </c>
      <c r="E6" s="9" t="s">
        <v>233</v>
      </c>
      <c r="F6" s="9" t="s">
        <v>15</v>
      </c>
      <c r="G6" s="9" t="s">
        <v>154</v>
      </c>
      <c r="H6" s="80" t="s">
        <v>240</v>
      </c>
      <c r="I6" s="104" t="s">
        <v>235</v>
      </c>
      <c r="J6" s="104"/>
    </row>
    <row r="8" spans="1:10">
      <c r="A8" s="30" t="s">
        <v>241</v>
      </c>
      <c r="B8"/>
      <c r="C8"/>
      <c r="D8"/>
      <c r="E8" s="103"/>
      <c r="F8" s="103"/>
      <c r="G8" s="103"/>
      <c r="H8" s="103"/>
      <c r="I8" s="103"/>
      <c r="J8" s="104"/>
    </row>
    <row r="9" spans="1:10">
      <c r="A9" t="s">
        <v>169</v>
      </c>
      <c r="B9" t="s">
        <v>242</v>
      </c>
      <c r="C9" t="s">
        <v>243</v>
      </c>
      <c r="D9"/>
      <c r="E9" s="103"/>
      <c r="F9" s="103"/>
      <c r="G9" s="103"/>
      <c r="H9" s="103"/>
      <c r="I9" s="103"/>
      <c r="J9" s="104"/>
    </row>
    <row r="10" spans="1:10">
      <c r="A10" t="s">
        <v>244</v>
      </c>
      <c r="B10">
        <v>3.5</v>
      </c>
      <c r="C10">
        <v>5.6</v>
      </c>
      <c r="D10"/>
      <c r="E10" s="103"/>
      <c r="F10" s="103"/>
      <c r="G10" s="103"/>
      <c r="H10" s="103"/>
      <c r="I10" s="103"/>
      <c r="J10" s="104"/>
    </row>
    <row r="11" spans="1:10">
      <c r="A11">
        <v>0.01</v>
      </c>
      <c r="B11">
        <v>14.1</v>
      </c>
      <c r="C11">
        <v>23.5</v>
      </c>
      <c r="D11">
        <f>AVERAGE(B11:C11)</f>
        <v>18.8</v>
      </c>
      <c r="E11" s="103"/>
      <c r="F11" s="103"/>
      <c r="G11" s="103"/>
      <c r="H11" s="103"/>
      <c r="I11" s="103"/>
      <c r="J11" s="104"/>
    </row>
    <row r="12" spans="1:10">
      <c r="A12">
        <v>2.5000000000000001E-2</v>
      </c>
      <c r="B12">
        <v>19.8</v>
      </c>
      <c r="C12">
        <v>28.4</v>
      </c>
      <c r="D12">
        <f t="shared" ref="D12:D20" si="0">AVERAGE(B12:C12)</f>
        <v>24.1</v>
      </c>
      <c r="E12" s="103"/>
      <c r="F12" s="103"/>
      <c r="G12" s="103"/>
      <c r="H12" s="103"/>
      <c r="I12" s="103"/>
      <c r="J12" s="104"/>
    </row>
    <row r="13" spans="1:10">
      <c r="A13">
        <v>0.05</v>
      </c>
      <c r="B13">
        <v>23.9</v>
      </c>
      <c r="C13">
        <v>33.299999999999997</v>
      </c>
      <c r="D13">
        <f t="shared" si="0"/>
        <v>28.599999999999998</v>
      </c>
      <c r="E13" s="103"/>
      <c r="F13" s="103"/>
      <c r="G13" s="103"/>
      <c r="H13" s="103"/>
      <c r="I13" s="103"/>
      <c r="J13" s="104"/>
    </row>
    <row r="14" spans="1:10">
      <c r="A14">
        <v>0.1</v>
      </c>
      <c r="B14">
        <v>29.3</v>
      </c>
      <c r="C14">
        <v>39.9</v>
      </c>
      <c r="D14">
        <f t="shared" si="0"/>
        <v>34.6</v>
      </c>
      <c r="E14" s="103"/>
      <c r="F14" s="103"/>
      <c r="G14" s="103"/>
      <c r="H14" s="103"/>
      <c r="I14" s="103"/>
      <c r="J14" s="104"/>
    </row>
    <row r="15" spans="1:10">
      <c r="A15">
        <v>0.25</v>
      </c>
      <c r="B15">
        <v>40.200000000000003</v>
      </c>
      <c r="C15">
        <v>51.6</v>
      </c>
      <c r="D15">
        <f t="shared" si="0"/>
        <v>45.900000000000006</v>
      </c>
      <c r="E15" s="103"/>
      <c r="F15" s="103"/>
      <c r="G15" s="103"/>
      <c r="H15" s="103"/>
      <c r="I15" s="103"/>
      <c r="J15" s="104"/>
    </row>
    <row r="16" spans="1:10">
      <c r="A16">
        <v>0.5</v>
      </c>
      <c r="B16">
        <v>54.3</v>
      </c>
      <c r="C16">
        <v>67</v>
      </c>
      <c r="D16">
        <f t="shared" si="0"/>
        <v>60.65</v>
      </c>
      <c r="E16" s="103"/>
      <c r="F16" s="103"/>
      <c r="G16" s="103"/>
      <c r="H16" s="103"/>
      <c r="I16" s="103"/>
      <c r="J16" s="104"/>
    </row>
    <row r="17" spans="1:4">
      <c r="A17">
        <v>0.75</v>
      </c>
      <c r="B17">
        <v>71.3</v>
      </c>
      <c r="C17">
        <v>84.7</v>
      </c>
      <c r="D17">
        <f t="shared" si="0"/>
        <v>78</v>
      </c>
    </row>
    <row r="18" spans="1:4">
      <c r="A18">
        <v>0.9</v>
      </c>
      <c r="B18">
        <v>91.5</v>
      </c>
      <c r="C18">
        <v>104.6</v>
      </c>
      <c r="D18">
        <f t="shared" si="0"/>
        <v>98.05</v>
      </c>
    </row>
    <row r="19" spans="1:4">
      <c r="A19">
        <v>0.95</v>
      </c>
      <c r="B19">
        <v>104.7</v>
      </c>
      <c r="C19">
        <v>120</v>
      </c>
      <c r="D19">
        <f t="shared" si="0"/>
        <v>112.35</v>
      </c>
    </row>
    <row r="20" spans="1:4">
      <c r="A20">
        <v>0.99</v>
      </c>
      <c r="B20">
        <v>133.6</v>
      </c>
      <c r="C20">
        <v>154</v>
      </c>
      <c r="D20">
        <f t="shared" si="0"/>
        <v>143.80000000000001</v>
      </c>
    </row>
    <row r="21" spans="1:4">
      <c r="A21" t="s">
        <v>245</v>
      </c>
      <c r="B21">
        <v>221.7</v>
      </c>
      <c r="C21">
        <v>314.5</v>
      </c>
      <c r="D21"/>
    </row>
    <row r="22" spans="1:4">
      <c r="A22" t="s">
        <v>246</v>
      </c>
      <c r="B22">
        <v>58</v>
      </c>
      <c r="C22">
        <v>70.400000000000006</v>
      </c>
      <c r="D22">
        <f>AVERAGE(D11:D20)</f>
        <v>64.484999999999985</v>
      </c>
    </row>
  </sheetData>
  <autoFilter ref="A1:I6" xr:uid="{8E9D7E18-A9B3-4191-9DBB-B80908E44EFC}">
    <sortState xmlns:xlrd2="http://schemas.microsoft.com/office/spreadsheetml/2017/richdata2" ref="A2:I6">
      <sortCondition ref="E1:E6"/>
    </sortState>
  </autoFilter>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46024B-1142-4C96-BCD5-D24748968ABA}">
  <dimension ref="A1:J4"/>
  <sheetViews>
    <sheetView workbookViewId="0">
      <selection activeCell="H4" sqref="H4"/>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30.75">
      <c r="A2" s="103" t="s">
        <v>10</v>
      </c>
      <c r="B2" s="13" t="s">
        <v>247</v>
      </c>
      <c r="C2" s="9" t="s">
        <v>12</v>
      </c>
      <c r="D2" s="11" t="s">
        <v>248</v>
      </c>
      <c r="E2" s="9" t="s">
        <v>249</v>
      </c>
      <c r="F2" s="9" t="s">
        <v>250</v>
      </c>
      <c r="G2" s="9" t="s">
        <v>134</v>
      </c>
      <c r="H2" s="9" t="s">
        <v>251</v>
      </c>
      <c r="I2" s="103" t="s">
        <v>136</v>
      </c>
      <c r="J2" s="104"/>
    </row>
    <row r="3" spans="1:10" ht="28.9">
      <c r="A3" s="103" t="s">
        <v>10</v>
      </c>
      <c r="B3" s="13" t="s">
        <v>19</v>
      </c>
      <c r="C3" s="9" t="s">
        <v>20</v>
      </c>
      <c r="D3" s="11" t="s">
        <v>252</v>
      </c>
      <c r="E3" s="9" t="s">
        <v>249</v>
      </c>
      <c r="F3" s="103" t="s">
        <v>250</v>
      </c>
      <c r="G3" s="9" t="s">
        <v>134</v>
      </c>
      <c r="H3" s="103" t="s">
        <v>253</v>
      </c>
      <c r="I3" s="103" t="s">
        <v>136</v>
      </c>
      <c r="J3" s="104"/>
    </row>
    <row r="4" spans="1:10" ht="28.9">
      <c r="A4" s="103" t="s">
        <v>10</v>
      </c>
      <c r="B4" s="13" t="s">
        <v>23</v>
      </c>
      <c r="C4" s="9" t="s">
        <v>24</v>
      </c>
      <c r="D4" s="11" t="s">
        <v>41</v>
      </c>
      <c r="E4" s="9" t="s">
        <v>249</v>
      </c>
      <c r="F4" s="103" t="s">
        <v>250</v>
      </c>
      <c r="G4" s="9" t="s">
        <v>134</v>
      </c>
      <c r="H4" s="103" t="s">
        <v>254</v>
      </c>
      <c r="I4" s="103" t="s">
        <v>136</v>
      </c>
      <c r="J4" s="104"/>
    </row>
  </sheetData>
  <autoFilter ref="A1:I4" xr:uid="{8E9D7E18-A9B3-4191-9DBB-B80908E44EFC}">
    <sortState xmlns:xlrd2="http://schemas.microsoft.com/office/spreadsheetml/2017/richdata2" ref="A2:I4">
      <sortCondition ref="E1:E4"/>
    </sortState>
  </autoFilter>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C7372-571C-4D04-9868-32042264B5A6}">
  <dimension ref="A1:J7"/>
  <sheetViews>
    <sheetView topLeftCell="A5" zoomScale="90" zoomScaleNormal="90" workbookViewId="0">
      <selection activeCell="E7" sqref="E7"/>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28.9">
      <c r="A2" s="103" t="s">
        <v>151</v>
      </c>
      <c r="B2" s="13" t="s">
        <v>28</v>
      </c>
      <c r="C2" s="9" t="s">
        <v>29</v>
      </c>
      <c r="D2" s="2">
        <v>69</v>
      </c>
      <c r="E2" s="9" t="s">
        <v>255</v>
      </c>
      <c r="F2" s="103" t="s">
        <v>256</v>
      </c>
      <c r="G2" s="9" t="s">
        <v>16</v>
      </c>
      <c r="H2" s="9" t="s">
        <v>257</v>
      </c>
      <c r="I2" s="103" t="s">
        <v>258</v>
      </c>
      <c r="J2" s="104"/>
    </row>
    <row r="3" spans="1:10" ht="28.9">
      <c r="A3" s="103" t="s">
        <v>151</v>
      </c>
      <c r="B3" s="13" t="s">
        <v>35</v>
      </c>
      <c r="C3" s="9" t="s">
        <v>36</v>
      </c>
      <c r="D3" s="11">
        <v>39</v>
      </c>
      <c r="E3" s="9" t="s">
        <v>255</v>
      </c>
      <c r="F3" s="9" t="s">
        <v>256</v>
      </c>
      <c r="G3" s="9" t="s">
        <v>16</v>
      </c>
      <c r="H3" s="103" t="s">
        <v>259</v>
      </c>
      <c r="I3" s="103" t="s">
        <v>258</v>
      </c>
      <c r="J3" s="104"/>
    </row>
    <row r="4" spans="1:10" ht="28.9">
      <c r="A4" s="103" t="s">
        <v>151</v>
      </c>
      <c r="B4" s="13" t="s">
        <v>43</v>
      </c>
      <c r="C4" s="9" t="s">
        <v>44</v>
      </c>
      <c r="D4" s="11" t="s">
        <v>45</v>
      </c>
      <c r="E4" s="9" t="s">
        <v>255</v>
      </c>
      <c r="F4" s="9" t="s">
        <v>256</v>
      </c>
      <c r="G4" s="9" t="s">
        <v>16</v>
      </c>
      <c r="H4" s="21" t="s">
        <v>46</v>
      </c>
      <c r="I4" s="103" t="s">
        <v>258</v>
      </c>
      <c r="J4" s="104"/>
    </row>
    <row r="5" spans="1:10" ht="75">
      <c r="A5" s="103" t="s">
        <v>151</v>
      </c>
      <c r="B5" s="13" t="s">
        <v>47</v>
      </c>
      <c r="C5" s="9" t="s">
        <v>95</v>
      </c>
      <c r="D5" s="25" t="s">
        <v>49</v>
      </c>
      <c r="E5" s="9" t="s">
        <v>255</v>
      </c>
      <c r="F5" s="9" t="s">
        <v>256</v>
      </c>
      <c r="G5" s="9" t="s">
        <v>16</v>
      </c>
      <c r="H5" s="29" t="s">
        <v>50</v>
      </c>
      <c r="I5" s="103" t="s">
        <v>258</v>
      </c>
      <c r="J5" s="104"/>
    </row>
    <row r="6" spans="1:10" ht="57.6">
      <c r="A6" s="103" t="s">
        <v>151</v>
      </c>
      <c r="B6" s="13" t="s">
        <v>162</v>
      </c>
      <c r="C6" s="9" t="s">
        <v>163</v>
      </c>
      <c r="D6" s="11" t="s">
        <v>260</v>
      </c>
      <c r="E6" s="9" t="s">
        <v>255</v>
      </c>
      <c r="F6" s="9" t="s">
        <v>256</v>
      </c>
      <c r="G6" s="9" t="s">
        <v>16</v>
      </c>
      <c r="H6" s="9" t="s">
        <v>261</v>
      </c>
      <c r="I6" s="103" t="s">
        <v>258</v>
      </c>
      <c r="J6" s="104"/>
    </row>
    <row r="7" spans="1:10" ht="129" customHeight="1">
      <c r="A7" s="103" t="s">
        <v>151</v>
      </c>
      <c r="B7" s="13" t="s">
        <v>51</v>
      </c>
      <c r="C7" s="9" t="s">
        <v>52</v>
      </c>
      <c r="D7" s="3" t="s">
        <v>53</v>
      </c>
      <c r="E7" s="9" t="s">
        <v>255</v>
      </c>
      <c r="F7" s="9" t="s">
        <v>256</v>
      </c>
      <c r="G7" s="9" t="s">
        <v>16</v>
      </c>
      <c r="H7" s="103" t="s">
        <v>54</v>
      </c>
      <c r="I7" s="103" t="s">
        <v>258</v>
      </c>
      <c r="J7" s="104"/>
    </row>
  </sheetData>
  <autoFilter ref="A1:I7" xr:uid="{8E9D7E18-A9B3-4191-9DBB-B80908E44EFC}">
    <sortState xmlns:xlrd2="http://schemas.microsoft.com/office/spreadsheetml/2017/richdata2" ref="A2:I7">
      <sortCondition ref="E1:E7"/>
    </sortState>
  </autoFilter>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3E5F8-CF1A-46A5-93B1-F0C6C18B9882}">
  <dimension ref="A1:J8"/>
  <sheetViews>
    <sheetView topLeftCell="A5" workbookViewId="0">
      <selection activeCell="D8" sqref="D8"/>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28.9">
      <c r="A2" s="103" t="s">
        <v>262</v>
      </c>
      <c r="B2" s="13" t="s">
        <v>28</v>
      </c>
      <c r="C2" s="9" t="s">
        <v>29</v>
      </c>
      <c r="D2" s="11">
        <v>66</v>
      </c>
      <c r="E2" s="9" t="s">
        <v>263</v>
      </c>
      <c r="F2" s="9" t="s">
        <v>264</v>
      </c>
      <c r="G2" s="9" t="s">
        <v>265</v>
      </c>
      <c r="H2" s="9" t="s">
        <v>266</v>
      </c>
      <c r="I2" s="103" t="s">
        <v>136</v>
      </c>
      <c r="J2" s="104"/>
    </row>
    <row r="3" spans="1:10" ht="28.9">
      <c r="A3" s="103" t="s">
        <v>262</v>
      </c>
      <c r="B3" s="13" t="s">
        <v>35</v>
      </c>
      <c r="C3" s="9" t="s">
        <v>267</v>
      </c>
      <c r="D3" s="11">
        <v>39.5</v>
      </c>
      <c r="E3" s="9" t="s">
        <v>263</v>
      </c>
      <c r="F3" s="9" t="s">
        <v>264</v>
      </c>
      <c r="G3" s="9" t="s">
        <v>265</v>
      </c>
      <c r="H3" s="9" t="s">
        <v>268</v>
      </c>
      <c r="I3" s="103" t="s">
        <v>136</v>
      </c>
      <c r="J3" s="104"/>
    </row>
    <row r="4" spans="1:10" ht="28.9">
      <c r="A4" s="103" t="s">
        <v>262</v>
      </c>
      <c r="B4" s="13" t="s">
        <v>11</v>
      </c>
      <c r="C4" s="9" t="s">
        <v>12</v>
      </c>
      <c r="D4" s="2" t="s">
        <v>269</v>
      </c>
      <c r="E4" s="9" t="s">
        <v>263</v>
      </c>
      <c r="F4" s="9" t="s">
        <v>264</v>
      </c>
      <c r="G4" s="9" t="s">
        <v>265</v>
      </c>
      <c r="H4" s="9" t="s">
        <v>266</v>
      </c>
      <c r="I4" s="103" t="s">
        <v>136</v>
      </c>
      <c r="J4" s="104"/>
    </row>
    <row r="5" spans="1:10" ht="28.9">
      <c r="A5" s="103" t="s">
        <v>262</v>
      </c>
      <c r="B5" s="13" t="s">
        <v>23</v>
      </c>
      <c r="C5" s="103" t="s">
        <v>24</v>
      </c>
      <c r="D5" s="11" t="s">
        <v>270</v>
      </c>
      <c r="E5" s="9" t="s">
        <v>263</v>
      </c>
      <c r="F5" s="9" t="s">
        <v>264</v>
      </c>
      <c r="G5" s="9" t="s">
        <v>265</v>
      </c>
      <c r="H5" s="9" t="s">
        <v>271</v>
      </c>
      <c r="I5" s="103" t="s">
        <v>136</v>
      </c>
      <c r="J5" s="104"/>
    </row>
    <row r="6" spans="1:10" ht="44.45">
      <c r="A6" s="103" t="s">
        <v>262</v>
      </c>
      <c r="B6" s="13" t="s">
        <v>43</v>
      </c>
      <c r="C6" s="9" t="s">
        <v>272</v>
      </c>
      <c r="D6" s="19" t="s">
        <v>273</v>
      </c>
      <c r="E6" s="9" t="s">
        <v>263</v>
      </c>
      <c r="F6" s="9" t="s">
        <v>264</v>
      </c>
      <c r="G6" s="9" t="s">
        <v>265</v>
      </c>
      <c r="H6" s="9" t="s">
        <v>274</v>
      </c>
      <c r="I6" s="103" t="s">
        <v>136</v>
      </c>
      <c r="J6" s="26" t="s">
        <v>275</v>
      </c>
    </row>
    <row r="7" spans="1:10" ht="75">
      <c r="A7" s="103" t="s">
        <v>262</v>
      </c>
      <c r="B7" s="13" t="s">
        <v>47</v>
      </c>
      <c r="C7" s="9" t="s">
        <v>276</v>
      </c>
      <c r="D7" s="46" t="s">
        <v>49</v>
      </c>
      <c r="E7" s="9" t="s">
        <v>263</v>
      </c>
      <c r="F7" s="9" t="s">
        <v>264</v>
      </c>
      <c r="G7" s="9" t="s">
        <v>265</v>
      </c>
      <c r="H7" s="29" t="s">
        <v>50</v>
      </c>
      <c r="I7" s="103" t="s">
        <v>136</v>
      </c>
      <c r="J7" s="104"/>
    </row>
    <row r="8" spans="1:10" ht="106.5" customHeight="1">
      <c r="A8" s="103" t="s">
        <v>262</v>
      </c>
      <c r="B8" s="13" t="s">
        <v>51</v>
      </c>
      <c r="C8" s="9" t="s">
        <v>52</v>
      </c>
      <c r="D8" s="3" t="s">
        <v>277</v>
      </c>
      <c r="E8" s="9" t="s">
        <v>263</v>
      </c>
      <c r="F8" s="9" t="s">
        <v>264</v>
      </c>
      <c r="G8" s="9" t="s">
        <v>265</v>
      </c>
      <c r="H8" s="103" t="s">
        <v>278</v>
      </c>
      <c r="I8" s="103" t="s">
        <v>136</v>
      </c>
      <c r="J8" s="104"/>
    </row>
  </sheetData>
  <autoFilter ref="A1:I8" xr:uid="{8E9D7E18-A9B3-4191-9DBB-B80908E44EFC}">
    <sortState xmlns:xlrd2="http://schemas.microsoft.com/office/spreadsheetml/2017/richdata2" ref="A2:I8">
      <sortCondition ref="E1:E8"/>
    </sortState>
  </autoFilter>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C841F-7B0A-4B2D-810F-3C0948671DE4}">
  <dimension ref="A1:J18"/>
  <sheetViews>
    <sheetView topLeftCell="A6" zoomScale="90" zoomScaleNormal="90" workbookViewId="0">
      <selection activeCell="H7" sqref="H7"/>
    </sheetView>
  </sheetViews>
  <sheetFormatPr defaultColWidth="8.85546875" defaultRowHeight="15"/>
  <cols>
    <col min="1" max="1" width="15.140625" style="101" customWidth="1"/>
    <col min="2" max="2" width="8.85546875" style="13" customWidth="1"/>
    <col min="3" max="3" width="26.140625" style="101" customWidth="1"/>
    <col min="4" max="4" width="12.85546875" style="2" customWidth="1"/>
    <col min="5" max="5" width="18" style="101" customWidth="1"/>
    <col min="6" max="6" width="23.5703125" style="101" customWidth="1"/>
    <col min="7" max="7" width="13.85546875" style="101" customWidth="1"/>
    <col min="8" max="8" width="83.5703125" style="101" customWidth="1"/>
    <col min="9" max="9" width="51.140625" style="101" customWidth="1"/>
    <col min="10" max="10" width="26.5703125" style="102" customWidth="1"/>
    <col min="11" max="16384" width="8.85546875" style="102"/>
  </cols>
  <sheetData>
    <row r="1" spans="1:10" ht="30.75">
      <c r="A1" s="5" t="s">
        <v>0</v>
      </c>
      <c r="B1" s="12" t="s">
        <v>1</v>
      </c>
      <c r="C1" s="6" t="s">
        <v>2</v>
      </c>
      <c r="D1" s="6" t="s">
        <v>3</v>
      </c>
      <c r="E1" s="6" t="s">
        <v>4</v>
      </c>
      <c r="F1" s="6" t="s">
        <v>5</v>
      </c>
      <c r="G1" s="6" t="s">
        <v>6</v>
      </c>
      <c r="H1" s="6" t="s">
        <v>7</v>
      </c>
      <c r="I1" s="7" t="s">
        <v>8</v>
      </c>
      <c r="J1" s="7" t="s">
        <v>9</v>
      </c>
    </row>
    <row r="2" spans="1:10" ht="30.75">
      <c r="A2" s="103" t="s">
        <v>151</v>
      </c>
      <c r="B2" s="13" t="s">
        <v>28</v>
      </c>
      <c r="C2" s="9" t="s">
        <v>29</v>
      </c>
      <c r="D2" s="2">
        <v>65</v>
      </c>
      <c r="E2" s="103" t="s">
        <v>279</v>
      </c>
      <c r="F2" s="103" t="s">
        <v>280</v>
      </c>
      <c r="G2" s="103" t="s">
        <v>134</v>
      </c>
      <c r="H2" s="103" t="s">
        <v>281</v>
      </c>
      <c r="I2" s="103" t="s">
        <v>282</v>
      </c>
      <c r="J2" s="104"/>
    </row>
    <row r="3" spans="1:10" ht="30.75">
      <c r="A3" s="103" t="s">
        <v>151</v>
      </c>
      <c r="B3" s="13" t="s">
        <v>35</v>
      </c>
      <c r="C3" s="9" t="s">
        <v>36</v>
      </c>
      <c r="D3" s="11">
        <v>65</v>
      </c>
      <c r="E3" s="103" t="s">
        <v>279</v>
      </c>
      <c r="F3" s="103" t="s">
        <v>280</v>
      </c>
      <c r="G3" s="103" t="s">
        <v>134</v>
      </c>
      <c r="H3" s="103" t="s">
        <v>137</v>
      </c>
      <c r="I3" s="103" t="s">
        <v>282</v>
      </c>
      <c r="J3" s="104"/>
    </row>
    <row r="4" spans="1:10" ht="45.75">
      <c r="A4" s="103" t="s">
        <v>151</v>
      </c>
      <c r="B4" s="13" t="s">
        <v>43</v>
      </c>
      <c r="C4" s="9" t="s">
        <v>44</v>
      </c>
      <c r="D4" s="2" t="s">
        <v>283</v>
      </c>
      <c r="E4" s="103" t="s">
        <v>279</v>
      </c>
      <c r="F4" s="103" t="s">
        <v>280</v>
      </c>
      <c r="G4" s="103" t="s">
        <v>134</v>
      </c>
      <c r="H4" s="103" t="s">
        <v>284</v>
      </c>
      <c r="I4" s="103" t="s">
        <v>282</v>
      </c>
      <c r="J4" s="104"/>
    </row>
    <row r="5" spans="1:10" ht="91.5">
      <c r="A5" s="103" t="s">
        <v>151</v>
      </c>
      <c r="B5" s="13" t="s">
        <v>47</v>
      </c>
      <c r="C5" s="9" t="s">
        <v>95</v>
      </c>
      <c r="D5" s="25" t="s">
        <v>49</v>
      </c>
      <c r="E5" s="103" t="s">
        <v>279</v>
      </c>
      <c r="F5" s="103" t="s">
        <v>280</v>
      </c>
      <c r="G5" s="103" t="s">
        <v>134</v>
      </c>
      <c r="H5" s="29" t="s">
        <v>285</v>
      </c>
      <c r="I5" s="103" t="s">
        <v>282</v>
      </c>
      <c r="J5" s="104"/>
    </row>
    <row r="6" spans="1:10" ht="60.75">
      <c r="A6" s="103" t="s">
        <v>286</v>
      </c>
      <c r="B6" s="13" t="s">
        <v>23</v>
      </c>
      <c r="C6" s="103" t="s">
        <v>24</v>
      </c>
      <c r="D6" s="2" t="s">
        <v>41</v>
      </c>
      <c r="E6" s="103" t="s">
        <v>279</v>
      </c>
      <c r="F6" s="103" t="s">
        <v>280</v>
      </c>
      <c r="G6" s="103" t="s">
        <v>134</v>
      </c>
      <c r="H6" s="23" t="s">
        <v>287</v>
      </c>
      <c r="I6" s="103" t="s">
        <v>288</v>
      </c>
      <c r="J6" s="104"/>
    </row>
    <row r="7" spans="1:10" ht="60.75">
      <c r="A7" s="103" t="s">
        <v>151</v>
      </c>
      <c r="B7" s="13" t="s">
        <v>162</v>
      </c>
      <c r="C7" s="9" t="s">
        <v>163</v>
      </c>
      <c r="D7" s="2" t="s">
        <v>289</v>
      </c>
      <c r="E7" s="103" t="s">
        <v>279</v>
      </c>
      <c r="F7" s="103" t="s">
        <v>280</v>
      </c>
      <c r="G7" s="103" t="s">
        <v>134</v>
      </c>
      <c r="H7" s="103" t="s">
        <v>290</v>
      </c>
      <c r="I7" s="103" t="s">
        <v>282</v>
      </c>
      <c r="J7" s="104"/>
    </row>
    <row r="8" spans="1:10" ht="55.5" customHeight="1">
      <c r="A8" s="103" t="s">
        <v>151</v>
      </c>
      <c r="B8" s="13" t="s">
        <v>51</v>
      </c>
      <c r="C8" s="23" t="s">
        <v>52</v>
      </c>
      <c r="D8" s="11" t="s">
        <v>291</v>
      </c>
      <c r="E8" s="103" t="s">
        <v>279</v>
      </c>
      <c r="F8" s="103" t="s">
        <v>280</v>
      </c>
      <c r="G8" s="103" t="s">
        <v>134</v>
      </c>
      <c r="H8" s="108" t="s">
        <v>292</v>
      </c>
      <c r="I8" s="103" t="s">
        <v>282</v>
      </c>
      <c r="J8" s="104"/>
    </row>
    <row r="10" spans="1:10">
      <c r="A10" s="103"/>
      <c r="C10" s="103"/>
      <c r="D10"/>
      <c r="E10" s="36" t="s">
        <v>293</v>
      </c>
      <c r="F10"/>
      <c r="G10" s="103"/>
      <c r="H10" s="103"/>
      <c r="I10" s="103"/>
      <c r="J10" s="104"/>
    </row>
    <row r="11" spans="1:10">
      <c r="A11" s="103"/>
      <c r="C11" s="103"/>
      <c r="D11" s="42"/>
      <c r="E11" s="38" t="s">
        <v>294</v>
      </c>
      <c r="F11" t="s">
        <v>295</v>
      </c>
      <c r="G11" s="103"/>
      <c r="H11" s="103"/>
      <c r="I11" s="103"/>
      <c r="J11" s="104"/>
    </row>
    <row r="12" spans="1:10">
      <c r="A12" s="103"/>
      <c r="C12" s="103"/>
      <c r="D12" t="s">
        <v>296</v>
      </c>
      <c r="E12">
        <f>207+83</f>
        <v>290</v>
      </c>
      <c r="F12">
        <v>80</v>
      </c>
      <c r="G12" s="103"/>
      <c r="H12" s="103"/>
      <c r="I12" s="103"/>
      <c r="J12" s="104"/>
    </row>
    <row r="13" spans="1:10">
      <c r="A13" s="103"/>
      <c r="C13" s="103"/>
      <c r="D13" t="s">
        <v>297</v>
      </c>
      <c r="E13">
        <f>285+105</f>
        <v>390</v>
      </c>
      <c r="F13">
        <v>70</v>
      </c>
      <c r="G13" s="103"/>
      <c r="H13" s="103"/>
      <c r="I13" s="103"/>
      <c r="J13" s="104"/>
    </row>
    <row r="14" spans="1:10">
      <c r="A14" s="103"/>
      <c r="C14" s="103"/>
      <c r="D14" t="s">
        <v>298</v>
      </c>
      <c r="E14">
        <f>301+76</f>
        <v>377</v>
      </c>
      <c r="F14">
        <v>60</v>
      </c>
      <c r="G14" s="103"/>
      <c r="H14" s="103"/>
      <c r="I14" s="103"/>
      <c r="J14" s="104"/>
    </row>
    <row r="15" spans="1:10">
      <c r="A15" s="103"/>
      <c r="C15" s="103"/>
      <c r="D15" t="s">
        <v>299</v>
      </c>
      <c r="E15">
        <f>207+38</f>
        <v>245</v>
      </c>
      <c r="F15">
        <v>45</v>
      </c>
      <c r="G15" s="103"/>
      <c r="H15" s="103"/>
      <c r="I15" s="103"/>
      <c r="J15" s="104"/>
    </row>
    <row r="18" spans="4:5">
      <c r="D18" s="44" t="s">
        <v>300</v>
      </c>
      <c r="E18" s="38">
        <f>SUMPRODUCT(E12:E15,F12:F15)/SUM(E12:E15)</f>
        <v>64.62749615975423</v>
      </c>
    </row>
  </sheetData>
  <autoFilter ref="A1:I8" xr:uid="{8E9D7E18-A9B3-4191-9DBB-B80908E44EFC}">
    <sortState xmlns:xlrd2="http://schemas.microsoft.com/office/spreadsheetml/2017/richdata2" ref="A2:I8">
      <sortCondition ref="E1:E8"/>
    </sortState>
  </autoFilter>
  <pageMargins left="0.7" right="0.7" top="0.75" bottom="0.75" header="0.3" footer="0.3"/>
  <pageSetup orientation="portrai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62B61-530C-4041-A282-08F3B6CF0677}">
  <dimension ref="A1:R30"/>
  <sheetViews>
    <sheetView topLeftCell="A5" zoomScale="90" zoomScaleNormal="90" workbookViewId="0">
      <selection activeCell="D7" sqref="D7"/>
    </sheetView>
  </sheetViews>
  <sheetFormatPr defaultColWidth="8.85546875" defaultRowHeight="15"/>
  <cols>
    <col min="1" max="1" width="15.140625" style="101" customWidth="1"/>
    <col min="2" max="2" width="8.85546875" style="13" customWidth="1"/>
    <col min="3" max="3" width="26.140625" style="101" customWidth="1"/>
    <col min="4" max="4" width="12.85546875" style="2" customWidth="1"/>
    <col min="5" max="5" width="18" style="101" customWidth="1"/>
    <col min="6" max="6" width="23.5703125" style="101" customWidth="1"/>
    <col min="7" max="7" width="13.85546875" style="101" customWidth="1"/>
    <col min="8" max="8" width="83.5703125" style="101" customWidth="1"/>
    <col min="9" max="9" width="51.140625" style="101" customWidth="1"/>
    <col min="10" max="10" width="26.5703125" style="102" customWidth="1"/>
    <col min="11" max="16384" width="8.85546875" style="102"/>
  </cols>
  <sheetData>
    <row r="1" spans="1:18" ht="30.75">
      <c r="A1" s="5" t="s">
        <v>0</v>
      </c>
      <c r="B1" s="12" t="s">
        <v>1</v>
      </c>
      <c r="C1" s="6" t="s">
        <v>2</v>
      </c>
      <c r="D1" s="6" t="s">
        <v>3</v>
      </c>
      <c r="E1" s="6" t="s">
        <v>4</v>
      </c>
      <c r="F1" s="6" t="s">
        <v>5</v>
      </c>
      <c r="G1" s="6" t="s">
        <v>6</v>
      </c>
      <c r="H1" s="6" t="s">
        <v>7</v>
      </c>
      <c r="I1" s="7" t="s">
        <v>8</v>
      </c>
      <c r="J1" s="7" t="s">
        <v>9</v>
      </c>
      <c r="K1" s="104"/>
      <c r="L1" s="104"/>
      <c r="M1" s="104"/>
      <c r="N1" s="104"/>
      <c r="O1" s="104"/>
      <c r="P1" s="104"/>
      <c r="Q1" s="104"/>
      <c r="R1" s="104"/>
    </row>
    <row r="2" spans="1:18" ht="72.599999999999994" customHeight="1">
      <c r="A2" s="103" t="s">
        <v>286</v>
      </c>
      <c r="B2" s="13" t="s">
        <v>28</v>
      </c>
      <c r="C2" s="103" t="s">
        <v>29</v>
      </c>
      <c r="D2" s="2">
        <v>65</v>
      </c>
      <c r="E2" s="103" t="s">
        <v>279</v>
      </c>
      <c r="F2" s="103" t="s">
        <v>280</v>
      </c>
      <c r="G2" s="103" t="s">
        <v>134</v>
      </c>
      <c r="H2" s="103" t="s">
        <v>281</v>
      </c>
      <c r="I2" s="103" t="s">
        <v>288</v>
      </c>
      <c r="J2" s="104"/>
      <c r="K2" s="104"/>
      <c r="L2" s="104"/>
      <c r="M2" s="104"/>
      <c r="N2" s="104"/>
      <c r="O2" s="104"/>
      <c r="P2" s="104"/>
      <c r="Q2" s="104"/>
      <c r="R2" s="104"/>
    </row>
    <row r="3" spans="1:18" ht="30.75">
      <c r="A3" s="103" t="s">
        <v>286</v>
      </c>
      <c r="B3" s="13" t="s">
        <v>35</v>
      </c>
      <c r="C3" s="103" t="s">
        <v>267</v>
      </c>
      <c r="D3" s="2">
        <v>65</v>
      </c>
      <c r="E3" s="103" t="s">
        <v>279</v>
      </c>
      <c r="F3" s="103" t="s">
        <v>280</v>
      </c>
      <c r="G3" s="103" t="s">
        <v>134</v>
      </c>
      <c r="H3" s="103" t="s">
        <v>137</v>
      </c>
      <c r="I3" s="103" t="s">
        <v>288</v>
      </c>
      <c r="J3" s="104"/>
      <c r="K3" s="104"/>
      <c r="L3" s="104"/>
      <c r="M3" s="104"/>
      <c r="N3" s="104"/>
      <c r="O3" s="104"/>
      <c r="P3" s="104"/>
      <c r="Q3" s="104"/>
      <c r="R3" s="104"/>
    </row>
    <row r="4" spans="1:18" ht="65.25" customHeight="1">
      <c r="A4" s="103" t="s">
        <v>286</v>
      </c>
      <c r="B4" s="13" t="s">
        <v>23</v>
      </c>
      <c r="C4" s="103" t="s">
        <v>24</v>
      </c>
      <c r="D4" s="2" t="s">
        <v>41</v>
      </c>
      <c r="E4" s="103" t="s">
        <v>279</v>
      </c>
      <c r="F4" s="103" t="s">
        <v>280</v>
      </c>
      <c r="G4" s="103" t="s">
        <v>134</v>
      </c>
      <c r="H4" s="23" t="s">
        <v>287</v>
      </c>
      <c r="I4" s="103" t="s">
        <v>288</v>
      </c>
      <c r="J4" s="104"/>
      <c r="K4" s="104"/>
      <c r="L4" s="104"/>
      <c r="M4" s="104"/>
      <c r="N4" s="104"/>
      <c r="O4" s="104"/>
      <c r="P4" s="104"/>
      <c r="Q4" s="104"/>
      <c r="R4" s="104"/>
    </row>
    <row r="5" spans="1:18" ht="45.75">
      <c r="A5" s="103" t="s">
        <v>286</v>
      </c>
      <c r="B5" s="13" t="s">
        <v>43</v>
      </c>
      <c r="C5" s="103" t="s">
        <v>272</v>
      </c>
      <c r="D5" s="2" t="s">
        <v>283</v>
      </c>
      <c r="E5" s="103" t="s">
        <v>279</v>
      </c>
      <c r="F5" s="103" t="s">
        <v>280</v>
      </c>
      <c r="G5" s="103" t="s">
        <v>134</v>
      </c>
      <c r="H5" s="103" t="s">
        <v>284</v>
      </c>
      <c r="I5" s="103" t="s">
        <v>288</v>
      </c>
      <c r="J5" s="104"/>
      <c r="K5" s="104"/>
      <c r="L5" s="104"/>
      <c r="M5" s="104"/>
      <c r="N5" s="104"/>
      <c r="O5" s="104"/>
      <c r="P5" s="104"/>
      <c r="Q5" s="104"/>
      <c r="R5" s="104"/>
    </row>
    <row r="6" spans="1:18" ht="91.5">
      <c r="A6" s="103" t="s">
        <v>286</v>
      </c>
      <c r="B6" s="13" t="s">
        <v>47</v>
      </c>
      <c r="C6" s="103" t="s">
        <v>95</v>
      </c>
      <c r="D6" s="45" t="s">
        <v>49</v>
      </c>
      <c r="E6" s="103" t="s">
        <v>279</v>
      </c>
      <c r="F6" s="103" t="s">
        <v>280</v>
      </c>
      <c r="G6" s="103" t="s">
        <v>134</v>
      </c>
      <c r="H6" s="29" t="s">
        <v>285</v>
      </c>
      <c r="I6" s="103" t="s">
        <v>288</v>
      </c>
      <c r="J6" s="104"/>
      <c r="K6" s="104"/>
      <c r="L6" s="104"/>
      <c r="M6" s="104"/>
      <c r="N6" s="104"/>
      <c r="O6" s="104"/>
      <c r="P6" s="104"/>
      <c r="Q6" s="104"/>
      <c r="R6" s="104"/>
    </row>
    <row r="7" spans="1:18" ht="60.75">
      <c r="A7" s="103" t="s">
        <v>286</v>
      </c>
      <c r="B7" s="13" t="s">
        <v>162</v>
      </c>
      <c r="C7" s="103" t="s">
        <v>163</v>
      </c>
      <c r="D7" s="2" t="s">
        <v>289</v>
      </c>
      <c r="E7" s="103" t="s">
        <v>279</v>
      </c>
      <c r="F7" s="103" t="s">
        <v>280</v>
      </c>
      <c r="G7" s="103" t="s">
        <v>134</v>
      </c>
      <c r="H7" s="103" t="s">
        <v>290</v>
      </c>
      <c r="I7" s="103" t="s">
        <v>288</v>
      </c>
      <c r="J7" s="104"/>
      <c r="K7" s="104"/>
      <c r="L7" s="104"/>
      <c r="M7" s="104"/>
      <c r="N7" s="104"/>
      <c r="O7" s="104"/>
      <c r="P7" s="104"/>
      <c r="Q7" s="104"/>
      <c r="R7" s="104"/>
    </row>
    <row r="8" spans="1:18" ht="72.599999999999994" customHeight="1">
      <c r="A8" s="23" t="s">
        <v>286</v>
      </c>
      <c r="B8" s="61" t="s">
        <v>51</v>
      </c>
      <c r="C8" s="23" t="s">
        <v>52</v>
      </c>
      <c r="D8" s="11" t="s">
        <v>291</v>
      </c>
      <c r="E8" s="103" t="s">
        <v>279</v>
      </c>
      <c r="F8" s="23" t="s">
        <v>280</v>
      </c>
      <c r="G8" s="103" t="s">
        <v>134</v>
      </c>
      <c r="H8" s="108" t="s">
        <v>292</v>
      </c>
      <c r="I8" s="103" t="s">
        <v>288</v>
      </c>
      <c r="J8" s="104"/>
      <c r="K8" s="104"/>
      <c r="L8" s="104"/>
      <c r="M8" s="104"/>
      <c r="N8" s="104"/>
      <c r="O8" s="104"/>
      <c r="P8" s="104"/>
      <c r="Q8" s="104"/>
      <c r="R8" s="104"/>
    </row>
    <row r="10" spans="1:18" ht="30.75">
      <c r="A10" s="30" t="s">
        <v>301</v>
      </c>
      <c r="B10" s="30" t="s">
        <v>302</v>
      </c>
      <c r="C10" t="s">
        <v>131</v>
      </c>
      <c r="D10"/>
      <c r="E10"/>
      <c r="F10"/>
      <c r="G10"/>
      <c r="H10" s="10" t="s">
        <v>109</v>
      </c>
      <c r="I10" s="10" t="s">
        <v>303</v>
      </c>
      <c r="J10" s="36" t="s">
        <v>304</v>
      </c>
      <c r="K10" s="36" t="s">
        <v>305</v>
      </c>
      <c r="L10" s="10" t="s">
        <v>306</v>
      </c>
      <c r="M10" s="10" t="s">
        <v>111</v>
      </c>
      <c r="N10"/>
      <c r="O10"/>
      <c r="P10" s="36" t="s">
        <v>293</v>
      </c>
      <c r="Q10"/>
      <c r="R10"/>
    </row>
    <row r="11" spans="1:18">
      <c r="A11" t="s">
        <v>128</v>
      </c>
      <c r="B11" s="37">
        <v>1.66</v>
      </c>
      <c r="C11" s="37">
        <v>0.91</v>
      </c>
      <c r="D11" s="33">
        <f>3*C11</f>
        <v>2.73</v>
      </c>
      <c r="E11" s="31"/>
      <c r="F11" s="31"/>
      <c r="G11" t="s">
        <v>112</v>
      </c>
      <c r="H11" s="38">
        <f>1/12</f>
        <v>8.3333333333333329E-2</v>
      </c>
      <c r="I11">
        <v>4.8</v>
      </c>
      <c r="J11">
        <v>0.84</v>
      </c>
      <c r="K11" s="39">
        <v>139.30898999999999</v>
      </c>
      <c r="L11" s="40">
        <f t="shared" ref="L11:L21" si="0">K11*J11*365/1000</f>
        <v>42.712136333999993</v>
      </c>
      <c r="M11" s="41">
        <v>0.23</v>
      </c>
      <c r="N11"/>
      <c r="O11" s="42"/>
      <c r="P11" s="38" t="s">
        <v>294</v>
      </c>
      <c r="Q11" t="s">
        <v>295</v>
      </c>
      <c r="R11"/>
    </row>
    <row r="12" spans="1:18">
      <c r="A12" t="s">
        <v>170</v>
      </c>
      <c r="B12">
        <f>B11*1000/$H$25</f>
        <v>24.416413411158281</v>
      </c>
      <c r="C12">
        <f>C11*1000/$H$25</f>
        <v>13.384901327803636</v>
      </c>
      <c r="D12">
        <f>C12*3</f>
        <v>40.154703983410911</v>
      </c>
      <c r="E12"/>
      <c r="F12"/>
      <c r="G12" t="s">
        <v>113</v>
      </c>
      <c r="H12" s="38">
        <f>2/12</f>
        <v>0.16666666666666666</v>
      </c>
      <c r="I12">
        <v>5.9</v>
      </c>
      <c r="J12">
        <v>0.9</v>
      </c>
      <c r="K12" s="39">
        <v>139.30898999999999</v>
      </c>
      <c r="L12" s="40">
        <f t="shared" si="0"/>
        <v>45.763003214999998</v>
      </c>
      <c r="M12" s="41">
        <v>0.23</v>
      </c>
      <c r="N12"/>
      <c r="O12" t="s">
        <v>296</v>
      </c>
      <c r="P12">
        <f>207+83</f>
        <v>290</v>
      </c>
      <c r="Q12">
        <v>80</v>
      </c>
      <c r="R12"/>
    </row>
    <row r="13" spans="1:18">
      <c r="A13"/>
      <c r="B13"/>
      <c r="C13"/>
      <c r="D13"/>
      <c r="E13" s="32"/>
      <c r="F13" s="32"/>
      <c r="G13" t="s">
        <v>114</v>
      </c>
      <c r="H13">
        <f>3/12</f>
        <v>0.25</v>
      </c>
      <c r="I13">
        <v>7.4</v>
      </c>
      <c r="J13">
        <v>1.05</v>
      </c>
      <c r="K13" s="39">
        <v>139.30898999999999</v>
      </c>
      <c r="L13" s="40">
        <f t="shared" si="0"/>
        <v>53.390170417499995</v>
      </c>
      <c r="M13" s="41">
        <v>0.23</v>
      </c>
      <c r="N13"/>
      <c r="O13" t="s">
        <v>297</v>
      </c>
      <c r="P13">
        <f>285+105</f>
        <v>390</v>
      </c>
      <c r="Q13">
        <v>70</v>
      </c>
      <c r="R13"/>
    </row>
    <row r="14" spans="1:18">
      <c r="A14" t="s">
        <v>307</v>
      </c>
      <c r="B14" t="s">
        <v>186</v>
      </c>
      <c r="C14" t="s">
        <v>308</v>
      </c>
      <c r="D14"/>
      <c r="E14"/>
      <c r="F14"/>
      <c r="G14" t="s">
        <v>115</v>
      </c>
      <c r="H14">
        <f>6/12</f>
        <v>0.5</v>
      </c>
      <c r="I14">
        <v>9.1999999999999993</v>
      </c>
      <c r="J14">
        <v>1.05</v>
      </c>
      <c r="K14" s="39">
        <v>139.30898999999999</v>
      </c>
      <c r="L14" s="40">
        <f t="shared" si="0"/>
        <v>53.390170417499995</v>
      </c>
      <c r="M14" s="41">
        <v>0.23</v>
      </c>
      <c r="N14"/>
      <c r="O14" t="s">
        <v>298</v>
      </c>
      <c r="P14">
        <f>301+76</f>
        <v>377</v>
      </c>
      <c r="Q14">
        <v>60</v>
      </c>
      <c r="R14"/>
    </row>
    <row r="15" spans="1:18">
      <c r="A15" t="s">
        <v>309</v>
      </c>
      <c r="B15">
        <v>5</v>
      </c>
      <c r="C15">
        <v>10</v>
      </c>
      <c r="D15"/>
      <c r="E15"/>
      <c r="F15"/>
      <c r="G15" t="s">
        <v>116</v>
      </c>
      <c r="H15">
        <v>1</v>
      </c>
      <c r="I15">
        <v>11.4</v>
      </c>
      <c r="J15">
        <v>0.84</v>
      </c>
      <c r="K15" s="39">
        <v>139.30898999999999</v>
      </c>
      <c r="L15" s="40">
        <f t="shared" si="0"/>
        <v>42.712136333999993</v>
      </c>
      <c r="M15" s="43">
        <v>0.1</v>
      </c>
      <c r="N15"/>
      <c r="O15" t="s">
        <v>299</v>
      </c>
      <c r="P15">
        <f>207+38</f>
        <v>245</v>
      </c>
      <c r="Q15">
        <v>45</v>
      </c>
      <c r="R15"/>
    </row>
    <row r="16" spans="1:18">
      <c r="A16" t="s">
        <v>310</v>
      </c>
      <c r="B16">
        <f>B15*B11</f>
        <v>8.2999999999999989</v>
      </c>
      <c r="C16">
        <f>C15*B11</f>
        <v>16.599999999999998</v>
      </c>
      <c r="D16"/>
      <c r="E16"/>
      <c r="F16"/>
      <c r="G16" t="s">
        <v>117</v>
      </c>
      <c r="H16">
        <v>2</v>
      </c>
      <c r="I16">
        <v>13.8</v>
      </c>
      <c r="J16">
        <v>0.88</v>
      </c>
      <c r="K16" s="39">
        <v>139.30898999999999</v>
      </c>
      <c r="L16" s="40">
        <f t="shared" si="0"/>
        <v>44.746047588000003</v>
      </c>
      <c r="M16" s="43">
        <v>0.1</v>
      </c>
      <c r="N16"/>
      <c r="O16"/>
      <c r="P16"/>
      <c r="Q16"/>
      <c r="R16"/>
    </row>
    <row r="17" spans="1:18">
      <c r="A17"/>
      <c r="B17"/>
      <c r="C17"/>
      <c r="D17"/>
      <c r="E17"/>
      <c r="F17"/>
      <c r="G17" t="s">
        <v>118</v>
      </c>
      <c r="H17">
        <v>3</v>
      </c>
      <c r="I17">
        <v>18.600000000000001</v>
      </c>
      <c r="J17">
        <v>0.96</v>
      </c>
      <c r="K17" s="39">
        <v>139.30898999999999</v>
      </c>
      <c r="L17" s="40">
        <f t="shared" si="0"/>
        <v>48.813870096000002</v>
      </c>
      <c r="M17" s="43">
        <v>0.1</v>
      </c>
      <c r="N17"/>
      <c r="O17" s="42"/>
      <c r="P17" s="38"/>
      <c r="Q17"/>
      <c r="R17"/>
    </row>
    <row r="18" spans="1:18">
      <c r="A18"/>
      <c r="B18"/>
      <c r="C18"/>
      <c r="D18"/>
      <c r="E18"/>
      <c r="F18"/>
      <c r="G18" t="s">
        <v>119</v>
      </c>
      <c r="H18">
        <v>5</v>
      </c>
      <c r="I18">
        <v>31.8</v>
      </c>
      <c r="J18">
        <v>1.31</v>
      </c>
      <c r="K18" s="39">
        <v>139.30898999999999</v>
      </c>
      <c r="L18" s="40">
        <f t="shared" si="0"/>
        <v>66.610593568499993</v>
      </c>
      <c r="M18" s="43">
        <v>0.1</v>
      </c>
      <c r="N18"/>
      <c r="O18" s="44" t="s">
        <v>300</v>
      </c>
      <c r="P18" s="38">
        <f>SUMPRODUCT(P12:P15,Q12:Q15)/SUM(P12:P15)</f>
        <v>64.62749615975423</v>
      </c>
      <c r="Q18"/>
      <c r="R18"/>
    </row>
    <row r="19" spans="1:18">
      <c r="A19"/>
      <c r="B19"/>
      <c r="C19"/>
      <c r="D19"/>
      <c r="E19"/>
      <c r="F19"/>
      <c r="G19" t="s">
        <v>120</v>
      </c>
      <c r="H19">
        <v>5</v>
      </c>
      <c r="I19">
        <v>56.8</v>
      </c>
      <c r="J19">
        <v>1.82</v>
      </c>
      <c r="K19" s="39">
        <v>139.30898999999999</v>
      </c>
      <c r="L19" s="40">
        <f t="shared" si="0"/>
        <v>92.542962056999997</v>
      </c>
      <c r="M19" s="43">
        <v>0.1</v>
      </c>
      <c r="N19"/>
      <c r="O19"/>
      <c r="P19"/>
      <c r="Q19"/>
      <c r="R19"/>
    </row>
    <row r="20" spans="1:18">
      <c r="A20" t="s">
        <v>311</v>
      </c>
      <c r="B20"/>
      <c r="C20"/>
      <c r="D20"/>
      <c r="E20"/>
      <c r="F20"/>
      <c r="G20" t="s">
        <v>121</v>
      </c>
      <c r="H20">
        <v>5</v>
      </c>
      <c r="I20">
        <v>71.599999999999994</v>
      </c>
      <c r="J20" s="33">
        <v>2.0754999999999999</v>
      </c>
      <c r="K20" s="39">
        <v>139.30898999999999</v>
      </c>
      <c r="L20" s="40">
        <f t="shared" si="0"/>
        <v>105.53457019192498</v>
      </c>
      <c r="M20" s="43">
        <v>0.1</v>
      </c>
      <c r="N20"/>
      <c r="O20"/>
      <c r="P20" s="36" t="s">
        <v>312</v>
      </c>
      <c r="Q20"/>
      <c r="R20"/>
    </row>
    <row r="21" spans="1:18">
      <c r="A21"/>
      <c r="B21"/>
      <c r="C21"/>
      <c r="D21"/>
      <c r="E21"/>
      <c r="F21"/>
      <c r="G21" t="s">
        <v>122</v>
      </c>
      <c r="H21">
        <f>H24-21</f>
        <v>43.62749615975423</v>
      </c>
      <c r="I21">
        <v>80</v>
      </c>
      <c r="J21">
        <v>2.39</v>
      </c>
      <c r="K21" s="39">
        <v>139.30898999999999</v>
      </c>
      <c r="L21" s="40">
        <f t="shared" si="0"/>
        <v>121.5261974265</v>
      </c>
      <c r="M21" s="43">
        <v>0.1</v>
      </c>
      <c r="N21"/>
      <c r="O21" s="42"/>
      <c r="P21" s="38" t="s">
        <v>294</v>
      </c>
      <c r="Q21" t="s">
        <v>295</v>
      </c>
      <c r="R21"/>
    </row>
    <row r="22" spans="1:18">
      <c r="A22" s="30"/>
      <c r="B22"/>
      <c r="C22"/>
      <c r="D22"/>
      <c r="E22"/>
      <c r="F22"/>
      <c r="G22"/>
      <c r="H22"/>
      <c r="I22"/>
      <c r="J22"/>
      <c r="K22"/>
      <c r="L22"/>
      <c r="M22"/>
      <c r="N22"/>
      <c r="O22" t="s">
        <v>296</v>
      </c>
      <c r="P22">
        <f>207</f>
        <v>207</v>
      </c>
      <c r="Q22">
        <v>80</v>
      </c>
      <c r="R22"/>
    </row>
    <row r="23" spans="1:18">
      <c r="A23"/>
      <c r="B23"/>
      <c r="C23"/>
      <c r="D23"/>
      <c r="E23"/>
      <c r="F23"/>
      <c r="G23"/>
      <c r="H23"/>
      <c r="I23"/>
      <c r="J23"/>
      <c r="K23"/>
      <c r="L23"/>
      <c r="M23"/>
      <c r="N23"/>
      <c r="O23" t="s">
        <v>297</v>
      </c>
      <c r="P23">
        <f>285</f>
        <v>285</v>
      </c>
      <c r="Q23">
        <v>70</v>
      </c>
      <c r="R23"/>
    </row>
    <row r="24" spans="1:18">
      <c r="A24"/>
      <c r="B24"/>
      <c r="C24"/>
      <c r="D24"/>
      <c r="E24"/>
      <c r="F24"/>
      <c r="G24" t="s">
        <v>313</v>
      </c>
      <c r="H24" s="38">
        <f>P18</f>
        <v>64.62749615975423</v>
      </c>
      <c r="I24"/>
      <c r="J24"/>
      <c r="K24"/>
      <c r="L24"/>
      <c r="M24"/>
      <c r="N24"/>
      <c r="O24" t="s">
        <v>298</v>
      </c>
      <c r="P24">
        <f>301</f>
        <v>301</v>
      </c>
      <c r="Q24">
        <v>60</v>
      </c>
      <c r="R24"/>
    </row>
    <row r="25" spans="1:18">
      <c r="A25"/>
      <c r="B25"/>
      <c r="C25"/>
      <c r="D25"/>
      <c r="E25"/>
      <c r="F25"/>
      <c r="G25" t="s">
        <v>314</v>
      </c>
      <c r="H25">
        <f>SUMPRODUCT(H11:H21,I11:I21)/H24</f>
        <v>67.987053300849723</v>
      </c>
      <c r="I25"/>
      <c r="J25"/>
      <c r="K25"/>
      <c r="L25"/>
      <c r="M25"/>
      <c r="N25"/>
      <c r="O25" t="s">
        <v>299</v>
      </c>
      <c r="P25">
        <f>207</f>
        <v>207</v>
      </c>
      <c r="Q25">
        <v>45</v>
      </c>
      <c r="R25"/>
    </row>
    <row r="26" spans="1:18">
      <c r="A26"/>
      <c r="B26" s="33"/>
      <c r="C26"/>
      <c r="D26"/>
      <c r="E26"/>
      <c r="F26"/>
      <c r="G26"/>
      <c r="H26"/>
      <c r="I26"/>
      <c r="J26"/>
      <c r="K26"/>
      <c r="L26"/>
      <c r="M26"/>
      <c r="N26"/>
      <c r="O26"/>
      <c r="P26"/>
      <c r="Q26"/>
      <c r="R26"/>
    </row>
    <row r="27" spans="1:18">
      <c r="A27"/>
      <c r="B27" s="33"/>
      <c r="C27"/>
      <c r="D27"/>
      <c r="E27"/>
      <c r="F27"/>
      <c r="G27"/>
      <c r="H27"/>
      <c r="I27"/>
      <c r="J27"/>
      <c r="K27"/>
      <c r="L27"/>
      <c r="M27"/>
      <c r="N27"/>
      <c r="O27" s="42"/>
      <c r="P27" s="38"/>
      <c r="Q27"/>
      <c r="R27"/>
    </row>
    <row r="28" spans="1:18">
      <c r="A28"/>
      <c r="B28" s="33"/>
      <c r="C28"/>
      <c r="D28"/>
      <c r="E28"/>
      <c r="F28"/>
      <c r="G28"/>
      <c r="H28"/>
      <c r="I28"/>
      <c r="J28"/>
      <c r="K28"/>
      <c r="L28"/>
      <c r="M28"/>
      <c r="N28"/>
      <c r="O28" s="44" t="s">
        <v>300</v>
      </c>
      <c r="P28" s="38">
        <f>SUMPRODUCT(P22:P25,Q22:Q25)/SUM(P22:P25)</f>
        <v>63.884999999999998</v>
      </c>
      <c r="Q28"/>
      <c r="R28"/>
    </row>
    <row r="29" spans="1:18">
      <c r="A29"/>
      <c r="B29" s="33"/>
      <c r="C29"/>
      <c r="D29"/>
      <c r="E29"/>
      <c r="F29"/>
      <c r="G29"/>
      <c r="H29"/>
      <c r="I29"/>
      <c r="J29"/>
      <c r="K29"/>
      <c r="L29"/>
      <c r="M29"/>
      <c r="N29"/>
      <c r="O29"/>
      <c r="P29"/>
      <c r="Q29"/>
      <c r="R29"/>
    </row>
    <row r="30" spans="1:18">
      <c r="A30" s="34"/>
      <c r="B30" s="34"/>
      <c r="C30"/>
      <c r="D30"/>
      <c r="E30"/>
      <c r="F30"/>
      <c r="G30"/>
      <c r="H30"/>
      <c r="I30"/>
      <c r="J30"/>
      <c r="K30"/>
      <c r="L30"/>
      <c r="M30"/>
      <c r="N30"/>
      <c r="O30"/>
      <c r="P30"/>
      <c r="Q30"/>
      <c r="R30"/>
    </row>
  </sheetData>
  <autoFilter ref="A1:I8" xr:uid="{8E9D7E18-A9B3-4191-9DBB-B80908E44EFC}">
    <sortState xmlns:xlrd2="http://schemas.microsoft.com/office/spreadsheetml/2017/richdata2" ref="A2:I8">
      <sortCondition ref="E1:E8"/>
    </sortState>
  </autoFilter>
  <pageMargins left="0.7" right="0.7" top="0.75" bottom="0.75" header="0.3" footer="0.3"/>
  <pageSetup orientation="portrait"/>
  <legacy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91698-D1E8-47BA-8470-5BEB36884165}">
  <dimension ref="A1:J6"/>
  <sheetViews>
    <sheetView workbookViewId="0">
      <selection activeCell="H6" sqref="H6"/>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c r="A2" s="103" t="s">
        <v>96</v>
      </c>
      <c r="B2" s="13" t="s">
        <v>28</v>
      </c>
      <c r="C2" s="9" t="s">
        <v>29</v>
      </c>
      <c r="D2" s="11">
        <v>63</v>
      </c>
      <c r="E2" s="9" t="s">
        <v>315</v>
      </c>
      <c r="F2" s="9" t="s">
        <v>280</v>
      </c>
      <c r="G2" s="9" t="s">
        <v>16</v>
      </c>
      <c r="H2" s="9" t="s">
        <v>316</v>
      </c>
      <c r="I2" s="103" t="s">
        <v>317</v>
      </c>
      <c r="J2" s="104"/>
    </row>
    <row r="3" spans="1:10" ht="28.9">
      <c r="A3" s="103" t="s">
        <v>96</v>
      </c>
      <c r="B3" s="13" t="s">
        <v>35</v>
      </c>
      <c r="C3" s="9" t="s">
        <v>36</v>
      </c>
      <c r="D3" s="11">
        <v>63</v>
      </c>
      <c r="E3" s="9" t="s">
        <v>315</v>
      </c>
      <c r="F3" s="9" t="s">
        <v>280</v>
      </c>
      <c r="G3" s="9" t="s">
        <v>16</v>
      </c>
      <c r="H3" s="9" t="s">
        <v>137</v>
      </c>
      <c r="I3" s="103" t="s">
        <v>317</v>
      </c>
      <c r="J3" s="104"/>
    </row>
    <row r="4" spans="1:10" ht="48" customHeight="1">
      <c r="A4" s="103" t="s">
        <v>96</v>
      </c>
      <c r="B4" s="13" t="s">
        <v>43</v>
      </c>
      <c r="C4" s="9" t="s">
        <v>44</v>
      </c>
      <c r="D4" s="11" t="s">
        <v>283</v>
      </c>
      <c r="E4" s="9" t="s">
        <v>315</v>
      </c>
      <c r="F4" s="9" t="s">
        <v>280</v>
      </c>
      <c r="G4" s="9" t="s">
        <v>16</v>
      </c>
      <c r="H4" s="9" t="s">
        <v>284</v>
      </c>
      <c r="I4" s="103" t="s">
        <v>317</v>
      </c>
      <c r="J4" s="104"/>
    </row>
    <row r="5" spans="1:10" ht="75">
      <c r="A5" s="103" t="s">
        <v>96</v>
      </c>
      <c r="B5" s="13" t="s">
        <v>47</v>
      </c>
      <c r="C5" s="9" t="s">
        <v>95</v>
      </c>
      <c r="D5" s="24" t="s">
        <v>49</v>
      </c>
      <c r="E5" s="9" t="s">
        <v>315</v>
      </c>
      <c r="F5" s="9" t="s">
        <v>280</v>
      </c>
      <c r="G5" s="9" t="s">
        <v>16</v>
      </c>
      <c r="H5" s="29" t="s">
        <v>50</v>
      </c>
      <c r="I5" s="103" t="s">
        <v>317</v>
      </c>
      <c r="J5" s="104"/>
    </row>
    <row r="6" spans="1:10" ht="45.75">
      <c r="A6" s="103" t="s">
        <v>96</v>
      </c>
      <c r="B6" s="13" t="s">
        <v>51</v>
      </c>
      <c r="C6" s="9" t="s">
        <v>52</v>
      </c>
      <c r="D6" s="11" t="s">
        <v>291</v>
      </c>
      <c r="E6" s="9" t="s">
        <v>315</v>
      </c>
      <c r="F6" s="9" t="s">
        <v>280</v>
      </c>
      <c r="G6" s="9" t="s">
        <v>16</v>
      </c>
      <c r="H6" s="108" t="s">
        <v>318</v>
      </c>
      <c r="I6" s="103" t="s">
        <v>317</v>
      </c>
      <c r="J6" s="104"/>
    </row>
  </sheetData>
  <autoFilter ref="A1:I6" xr:uid="{8E9D7E18-A9B3-4191-9DBB-B80908E44EFC}">
    <sortState xmlns:xlrd2="http://schemas.microsoft.com/office/spreadsheetml/2017/richdata2" ref="A2:I6">
      <sortCondition ref="E1:E6"/>
    </sortState>
  </autoFilter>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4FD82-67E2-4A28-818B-9A627D5146EB}">
  <dimension ref="A1:J4"/>
  <sheetViews>
    <sheetView workbookViewId="0"/>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28.9">
      <c r="A2" s="103" t="s">
        <v>10</v>
      </c>
      <c r="B2" s="13" t="s">
        <v>247</v>
      </c>
      <c r="C2" s="9" t="s">
        <v>12</v>
      </c>
      <c r="D2" s="2" t="s">
        <v>319</v>
      </c>
      <c r="E2" s="103" t="s">
        <v>320</v>
      </c>
      <c r="F2" s="9" t="s">
        <v>256</v>
      </c>
      <c r="G2" s="9" t="s">
        <v>134</v>
      </c>
      <c r="H2" s="103" t="s">
        <v>321</v>
      </c>
      <c r="I2" s="103" t="s">
        <v>136</v>
      </c>
      <c r="J2" s="104"/>
    </row>
    <row r="3" spans="1:10" ht="28.9">
      <c r="A3" s="103" t="s">
        <v>10</v>
      </c>
      <c r="B3" s="13" t="s">
        <v>19</v>
      </c>
      <c r="C3" s="9" t="s">
        <v>20</v>
      </c>
      <c r="D3" s="2" t="s">
        <v>322</v>
      </c>
      <c r="E3" s="103" t="s">
        <v>320</v>
      </c>
      <c r="F3" s="9" t="s">
        <v>256</v>
      </c>
      <c r="G3" s="9" t="s">
        <v>134</v>
      </c>
      <c r="H3" s="103" t="s">
        <v>321</v>
      </c>
      <c r="I3" s="103" t="s">
        <v>136</v>
      </c>
      <c r="J3" s="104"/>
    </row>
    <row r="4" spans="1:10" ht="28.9">
      <c r="A4" s="103" t="s">
        <v>10</v>
      </c>
      <c r="B4" s="13" t="s">
        <v>23</v>
      </c>
      <c r="C4" s="9" t="s">
        <v>24</v>
      </c>
      <c r="D4" s="2" t="s">
        <v>41</v>
      </c>
      <c r="E4" s="103" t="s">
        <v>320</v>
      </c>
      <c r="F4" s="103" t="s">
        <v>256</v>
      </c>
      <c r="G4" s="9" t="s">
        <v>134</v>
      </c>
      <c r="H4" s="103" t="s">
        <v>321</v>
      </c>
      <c r="I4" s="103" t="s">
        <v>136</v>
      </c>
      <c r="J4" s="104"/>
    </row>
  </sheetData>
  <autoFilter ref="A1:I4" xr:uid="{8E9D7E18-A9B3-4191-9DBB-B80908E44EFC}">
    <sortState xmlns:xlrd2="http://schemas.microsoft.com/office/spreadsheetml/2017/richdata2" ref="A2:I4">
      <sortCondition ref="E1:E4"/>
    </sortState>
  </autoFilter>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2D222-A127-4F69-9EE4-8265D21D1F32}">
  <dimension ref="A1:J4"/>
  <sheetViews>
    <sheetView workbookViewId="0">
      <selection activeCell="C7" sqref="C7"/>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30.75">
      <c r="A2" s="103" t="s">
        <v>10</v>
      </c>
      <c r="B2" s="13" t="s">
        <v>247</v>
      </c>
      <c r="C2" s="103" t="s">
        <v>12</v>
      </c>
      <c r="D2" s="11" t="s">
        <v>323</v>
      </c>
      <c r="E2" s="9" t="s">
        <v>324</v>
      </c>
      <c r="F2" s="9" t="s">
        <v>256</v>
      </c>
      <c r="G2" s="9" t="s">
        <v>16</v>
      </c>
      <c r="H2" s="21" t="s">
        <v>325</v>
      </c>
      <c r="I2" s="103" t="s">
        <v>326</v>
      </c>
      <c r="J2" s="104"/>
    </row>
    <row r="3" spans="1:10" ht="28.9">
      <c r="A3" s="103" t="s">
        <v>10</v>
      </c>
      <c r="B3" s="13" t="s">
        <v>19</v>
      </c>
      <c r="C3" s="9" t="s">
        <v>20</v>
      </c>
      <c r="D3" s="11" t="s">
        <v>322</v>
      </c>
      <c r="E3" s="9" t="s">
        <v>324</v>
      </c>
      <c r="F3" s="9" t="s">
        <v>256</v>
      </c>
      <c r="G3" s="9" t="s">
        <v>16</v>
      </c>
      <c r="H3" s="9" t="s">
        <v>327</v>
      </c>
      <c r="I3" s="103" t="s">
        <v>326</v>
      </c>
      <c r="J3" s="104"/>
    </row>
    <row r="4" spans="1:10" ht="28.9">
      <c r="A4" s="103" t="s">
        <v>10</v>
      </c>
      <c r="B4" s="13" t="s">
        <v>23</v>
      </c>
      <c r="C4" s="9" t="s">
        <v>24</v>
      </c>
      <c r="D4" s="11" t="s">
        <v>41</v>
      </c>
      <c r="E4" s="9" t="s">
        <v>324</v>
      </c>
      <c r="F4" s="9" t="s">
        <v>256</v>
      </c>
      <c r="G4" s="9" t="s">
        <v>16</v>
      </c>
      <c r="H4" s="9" t="s">
        <v>254</v>
      </c>
      <c r="I4" s="103" t="s">
        <v>326</v>
      </c>
      <c r="J4" s="104"/>
    </row>
  </sheetData>
  <autoFilter ref="A1:I4" xr:uid="{8E9D7E18-A9B3-4191-9DBB-B80908E44EFC}">
    <sortState xmlns:xlrd2="http://schemas.microsoft.com/office/spreadsheetml/2017/richdata2" ref="A2:I4">
      <sortCondition ref="E1:E4"/>
    </sortState>
  </autoFilter>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8052F0-8FF4-4BFD-9740-AC49B12A0CC2}">
  <dimension ref="A1:M42"/>
  <sheetViews>
    <sheetView topLeftCell="A7" workbookViewId="0">
      <selection activeCell="D6" sqref="D6"/>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3" ht="28.9">
      <c r="A1" s="5" t="s">
        <v>0</v>
      </c>
      <c r="B1" s="12" t="s">
        <v>1</v>
      </c>
      <c r="C1" s="6" t="s">
        <v>2</v>
      </c>
      <c r="D1" s="6" t="s">
        <v>3</v>
      </c>
      <c r="E1" s="6" t="s">
        <v>4</v>
      </c>
      <c r="F1" s="6" t="s">
        <v>5</v>
      </c>
      <c r="G1" s="6" t="s">
        <v>6</v>
      </c>
      <c r="H1" s="6" t="s">
        <v>7</v>
      </c>
      <c r="I1" s="7" t="s">
        <v>8</v>
      </c>
      <c r="J1" s="7" t="s">
        <v>9</v>
      </c>
      <c r="K1" s="104"/>
      <c r="L1" s="104"/>
      <c r="M1" s="104"/>
    </row>
    <row r="2" spans="1:13" ht="28.9">
      <c r="A2" s="104" t="s">
        <v>27</v>
      </c>
      <c r="B2" s="13" t="s">
        <v>28</v>
      </c>
      <c r="C2" s="104" t="s">
        <v>29</v>
      </c>
      <c r="D2" s="10">
        <v>65</v>
      </c>
      <c r="E2" s="104" t="s">
        <v>30</v>
      </c>
      <c r="F2" s="104" t="s">
        <v>31</v>
      </c>
      <c r="G2" s="104" t="s">
        <v>32</v>
      </c>
      <c r="H2" s="103" t="s">
        <v>33</v>
      </c>
      <c r="I2" s="104" t="s">
        <v>34</v>
      </c>
      <c r="J2" s="104"/>
      <c r="K2" s="104"/>
      <c r="L2" s="104"/>
      <c r="M2" s="104"/>
    </row>
    <row r="3" spans="1:13" ht="57.6">
      <c r="A3" s="104" t="s">
        <v>27</v>
      </c>
      <c r="B3" s="13" t="s">
        <v>35</v>
      </c>
      <c r="C3" s="103" t="s">
        <v>36</v>
      </c>
      <c r="D3" s="2">
        <v>65</v>
      </c>
      <c r="E3" s="103" t="s">
        <v>30</v>
      </c>
      <c r="F3" s="103" t="s">
        <v>31</v>
      </c>
      <c r="G3" s="103" t="s">
        <v>32</v>
      </c>
      <c r="H3" s="103" t="s">
        <v>37</v>
      </c>
      <c r="I3" s="104" t="s">
        <v>34</v>
      </c>
      <c r="J3" s="104"/>
      <c r="K3" s="104"/>
      <c r="L3" s="104"/>
      <c r="M3" s="104"/>
    </row>
    <row r="4" spans="1:13" ht="43.15">
      <c r="A4" s="104" t="s">
        <v>27</v>
      </c>
      <c r="B4" s="13" t="s">
        <v>11</v>
      </c>
      <c r="C4" s="103" t="s">
        <v>12</v>
      </c>
      <c r="D4" s="2" t="s">
        <v>38</v>
      </c>
      <c r="E4" s="103" t="s">
        <v>30</v>
      </c>
      <c r="F4" s="103" t="s">
        <v>31</v>
      </c>
      <c r="G4" s="103" t="s">
        <v>32</v>
      </c>
      <c r="H4" s="103" t="s">
        <v>39</v>
      </c>
      <c r="I4" s="104" t="s">
        <v>40</v>
      </c>
      <c r="J4" s="104"/>
      <c r="K4" s="104"/>
      <c r="L4" s="104"/>
      <c r="M4" s="104"/>
    </row>
    <row r="5" spans="1:13" ht="28.9">
      <c r="A5" s="104" t="s">
        <v>27</v>
      </c>
      <c r="B5" s="13" t="s">
        <v>23</v>
      </c>
      <c r="C5" s="103" t="s">
        <v>24</v>
      </c>
      <c r="D5" s="10" t="s">
        <v>41</v>
      </c>
      <c r="E5" s="104" t="s">
        <v>30</v>
      </c>
      <c r="F5" s="103" t="s">
        <v>31</v>
      </c>
      <c r="G5" s="103" t="s">
        <v>32</v>
      </c>
      <c r="H5" s="104" t="s">
        <v>42</v>
      </c>
      <c r="I5" s="104" t="s">
        <v>34</v>
      </c>
      <c r="J5" s="104"/>
      <c r="K5" s="104"/>
      <c r="L5" s="104"/>
      <c r="M5" s="104"/>
    </row>
    <row r="6" spans="1:13" ht="28.9">
      <c r="A6" s="104" t="s">
        <v>27</v>
      </c>
      <c r="B6" s="13" t="s">
        <v>43</v>
      </c>
      <c r="C6" s="104" t="s">
        <v>44</v>
      </c>
      <c r="D6" s="14" t="s">
        <v>45</v>
      </c>
      <c r="E6" s="104" t="s">
        <v>30</v>
      </c>
      <c r="F6" s="104" t="s">
        <v>31</v>
      </c>
      <c r="G6" s="104" t="s">
        <v>32</v>
      </c>
      <c r="H6" s="104" t="s">
        <v>46</v>
      </c>
      <c r="I6" s="104" t="s">
        <v>34</v>
      </c>
      <c r="J6" s="104"/>
      <c r="K6" s="104"/>
      <c r="L6" s="104"/>
      <c r="M6" s="104"/>
    </row>
    <row r="7" spans="1:13" ht="75">
      <c r="A7" s="104" t="s">
        <v>27</v>
      </c>
      <c r="B7" s="13" t="s">
        <v>47</v>
      </c>
      <c r="C7" s="104" t="s">
        <v>48</v>
      </c>
      <c r="D7" s="45" t="s">
        <v>49</v>
      </c>
      <c r="E7" s="104" t="s">
        <v>30</v>
      </c>
      <c r="F7" s="104" t="s">
        <v>31</v>
      </c>
      <c r="G7" s="104" t="s">
        <v>32</v>
      </c>
      <c r="H7" s="29" t="s">
        <v>50</v>
      </c>
      <c r="I7" s="104" t="s">
        <v>34</v>
      </c>
      <c r="J7" s="104"/>
      <c r="K7" s="104"/>
      <c r="L7" s="104"/>
      <c r="M7" s="104"/>
    </row>
    <row r="8" spans="1:13" ht="108" customHeight="1">
      <c r="A8" s="104" t="s">
        <v>27</v>
      </c>
      <c r="B8" s="13" t="s">
        <v>51</v>
      </c>
      <c r="C8" s="103" t="s">
        <v>52</v>
      </c>
      <c r="D8" s="3" t="s">
        <v>53</v>
      </c>
      <c r="E8" s="103" t="s">
        <v>30</v>
      </c>
      <c r="F8" s="103" t="s">
        <v>31</v>
      </c>
      <c r="G8" s="103" t="s">
        <v>32</v>
      </c>
      <c r="H8" s="103" t="s">
        <v>54</v>
      </c>
      <c r="I8" s="104" t="s">
        <v>34</v>
      </c>
      <c r="J8" s="104"/>
      <c r="K8" s="104"/>
      <c r="L8" s="104"/>
      <c r="M8" s="104"/>
    </row>
    <row r="10" spans="1:13">
      <c r="A10" s="48" t="s">
        <v>55</v>
      </c>
      <c r="B10" s="30"/>
      <c r="C10"/>
      <c r="D10"/>
      <c r="E10"/>
      <c r="F10"/>
      <c r="G10"/>
      <c r="H10" s="10"/>
      <c r="I10" s="10"/>
      <c r="J10" s="36"/>
      <c r="K10" s="36"/>
      <c r="L10" s="10"/>
      <c r="M10" s="10"/>
    </row>
    <row r="11" spans="1:13">
      <c r="A11" s="49" t="s">
        <v>56</v>
      </c>
      <c r="B11" s="35" t="s">
        <v>57</v>
      </c>
      <c r="C11" s="50" t="s">
        <v>58</v>
      </c>
      <c r="D11" t="s">
        <v>59</v>
      </c>
      <c r="E11" t="s">
        <v>60</v>
      </c>
      <c r="F11" t="s">
        <v>61</v>
      </c>
      <c r="G11" t="s">
        <v>62</v>
      </c>
      <c r="H11" t="s">
        <v>63</v>
      </c>
      <c r="I11"/>
      <c r="J11"/>
      <c r="K11" s="51"/>
      <c r="L11" s="40"/>
      <c r="M11" s="41"/>
    </row>
    <row r="12" spans="1:13">
      <c r="A12" s="35">
        <v>30</v>
      </c>
      <c r="B12">
        <v>55</v>
      </c>
      <c r="C12">
        <v>42.5</v>
      </c>
      <c r="D12">
        <v>190</v>
      </c>
      <c r="E12">
        <v>255</v>
      </c>
      <c r="F12">
        <f>D12+E12</f>
        <v>445</v>
      </c>
      <c r="G12">
        <f>C12*F12/F18</f>
        <v>7.2433933358866334</v>
      </c>
      <c r="H12">
        <f>C12*D12/D18</f>
        <v>6.7686504610226317</v>
      </c>
      <c r="I12"/>
      <c r="J12"/>
      <c r="K12" s="51"/>
      <c r="L12" s="40"/>
      <c r="M12" s="41"/>
    </row>
    <row r="13" spans="1:13">
      <c r="A13" s="35">
        <v>55</v>
      </c>
      <c r="B13">
        <v>64</v>
      </c>
      <c r="C13">
        <v>60</v>
      </c>
      <c r="D13">
        <v>314</v>
      </c>
      <c r="E13">
        <v>336</v>
      </c>
      <c r="F13">
        <f t="shared" ref="F13:F15" si="0">D13+E13</f>
        <v>650</v>
      </c>
      <c r="G13">
        <f>C13*F13/F18</f>
        <v>14.93680582152432</v>
      </c>
      <c r="H13">
        <f>C13*D13/D18</f>
        <v>15.792120704107292</v>
      </c>
      <c r="I13"/>
      <c r="J13"/>
      <c r="K13" s="51"/>
      <c r="L13" s="40"/>
      <c r="M13" s="41"/>
    </row>
    <row r="14" spans="1:13">
      <c r="A14" s="35">
        <v>65</v>
      </c>
      <c r="B14">
        <v>74</v>
      </c>
      <c r="C14">
        <v>70</v>
      </c>
      <c r="D14">
        <v>438</v>
      </c>
      <c r="E14">
        <v>544</v>
      </c>
      <c r="F14">
        <f t="shared" si="0"/>
        <v>982</v>
      </c>
      <c r="G14">
        <f>C14*F14/F18</f>
        <v>26.327077747989275</v>
      </c>
      <c r="H14">
        <f>C14*D14/D18</f>
        <v>25.699916177703269</v>
      </c>
      <c r="I14"/>
      <c r="J14"/>
      <c r="K14" s="51"/>
      <c r="L14" s="40"/>
      <c r="M14" s="41"/>
    </row>
    <row r="15" spans="1:13">
      <c r="A15" s="35">
        <v>75</v>
      </c>
      <c r="B15">
        <v>100</v>
      </c>
      <c r="C15">
        <v>80</v>
      </c>
      <c r="D15">
        <v>251</v>
      </c>
      <c r="E15">
        <v>283</v>
      </c>
      <c r="F15">
        <f t="shared" si="0"/>
        <v>534</v>
      </c>
      <c r="G15">
        <f>C15*F15/F18</f>
        <v>16.361547299885103</v>
      </c>
      <c r="H15">
        <f>C15*D15/D18</f>
        <v>16.831517183570831</v>
      </c>
      <c r="I15"/>
      <c r="J15"/>
      <c r="K15" s="51"/>
      <c r="L15" s="40"/>
      <c r="M15" s="41"/>
    </row>
    <row r="16" spans="1:13">
      <c r="A16" s="35"/>
      <c r="B16"/>
      <c r="C16"/>
      <c r="D16"/>
      <c r="E16"/>
      <c r="F16"/>
      <c r="G16"/>
      <c r="H16"/>
      <c r="I16"/>
      <c r="J16"/>
      <c r="K16" s="51"/>
      <c r="L16" s="40"/>
      <c r="M16" s="41"/>
    </row>
    <row r="17" spans="1:13">
      <c r="A17" s="35"/>
      <c r="B17"/>
      <c r="C17"/>
      <c r="D17"/>
      <c r="E17"/>
      <c r="F17"/>
      <c r="G17"/>
      <c r="H17"/>
      <c r="I17"/>
      <c r="J17"/>
      <c r="K17" s="51"/>
      <c r="L17" s="40"/>
      <c r="M17" s="41"/>
    </row>
    <row r="18" spans="1:13">
      <c r="A18" s="35"/>
      <c r="B18" t="s">
        <v>64</v>
      </c>
      <c r="C18">
        <f>SUM(C12:C15)</f>
        <v>252.5</v>
      </c>
      <c r="D18">
        <f>SUM(D12:D15)</f>
        <v>1193</v>
      </c>
      <c r="E18">
        <f>SUM(E12:E15)</f>
        <v>1418</v>
      </c>
      <c r="F18">
        <f>SUM(F12:F15)</f>
        <v>2611</v>
      </c>
      <c r="G18"/>
      <c r="H18"/>
      <c r="I18"/>
      <c r="J18"/>
      <c r="K18" s="51"/>
      <c r="L18" s="40"/>
      <c r="M18" s="41"/>
    </row>
    <row r="19" spans="1:13">
      <c r="A19" s="35"/>
      <c r="B19"/>
      <c r="C19"/>
      <c r="D19"/>
      <c r="E19"/>
      <c r="F19" s="35" t="s">
        <v>65</v>
      </c>
      <c r="G19">
        <f>SUM(G12:G15)</f>
        <v>64.868824205285335</v>
      </c>
      <c r="H19">
        <f>SUM(H12:H15)</f>
        <v>65.092204526404032</v>
      </c>
      <c r="I19"/>
      <c r="J19"/>
      <c r="K19" s="51"/>
      <c r="L19" s="40"/>
      <c r="M19" s="41"/>
    </row>
    <row r="20" spans="1:13">
      <c r="A20"/>
      <c r="B20"/>
      <c r="C20"/>
      <c r="D20"/>
      <c r="E20"/>
      <c r="F20"/>
      <c r="G20"/>
      <c r="H20"/>
      <c r="I20"/>
      <c r="J20"/>
      <c r="K20"/>
      <c r="L20"/>
      <c r="M20"/>
    </row>
    <row r="21" spans="1:13">
      <c r="A21" t="s">
        <v>66</v>
      </c>
      <c r="B21"/>
      <c r="C21" s="105" t="s">
        <v>67</v>
      </c>
      <c r="D21" s="105"/>
      <c r="E21"/>
      <c r="F21" t="s">
        <v>68</v>
      </c>
      <c r="G21" t="s">
        <v>69</v>
      </c>
      <c r="H21" s="105" t="s">
        <v>70</v>
      </c>
      <c r="I21" s="105"/>
      <c r="J21"/>
      <c r="K21"/>
      <c r="L21"/>
      <c r="M21"/>
    </row>
    <row r="22" spans="1:13">
      <c r="A22" t="s">
        <v>71</v>
      </c>
      <c r="B22" s="52">
        <v>65.934563915845644</v>
      </c>
      <c r="C22" s="53">
        <f t="shared" ref="C22:D27" si="1">A12</f>
        <v>30</v>
      </c>
      <c r="D22" s="53">
        <f t="shared" si="1"/>
        <v>55</v>
      </c>
      <c r="E22"/>
      <c r="F22" s="54">
        <f>IF(B28="C", D12,F12)</f>
        <v>445</v>
      </c>
      <c r="G22" s="55">
        <f>F22/SUM(F22:F27)</f>
        <v>0.17043278437380313</v>
      </c>
      <c r="H22"/>
      <c r="I22">
        <f>D22</f>
        <v>55</v>
      </c>
      <c r="J22"/>
      <c r="K22"/>
      <c r="L22"/>
      <c r="M22"/>
    </row>
    <row r="23" spans="1:13">
      <c r="A23" t="s">
        <v>72</v>
      </c>
      <c r="B23" s="52">
        <v>11.025120126303255</v>
      </c>
      <c r="C23" s="53">
        <f t="shared" si="1"/>
        <v>55</v>
      </c>
      <c r="D23" s="53">
        <f t="shared" si="1"/>
        <v>64</v>
      </c>
      <c r="E23"/>
      <c r="F23" s="54">
        <f>IF(B28="C", D13,F13)</f>
        <v>650</v>
      </c>
      <c r="G23" s="55">
        <f>F23/SUM(F22:F27)</f>
        <v>0.248946763692072</v>
      </c>
      <c r="H23">
        <f t="shared" ref="H23:I27" si="2">C23</f>
        <v>55</v>
      </c>
      <c r="I23">
        <f t="shared" si="2"/>
        <v>64</v>
      </c>
      <c r="J23"/>
      <c r="K23"/>
      <c r="L23"/>
      <c r="M23"/>
    </row>
    <row r="24" spans="1:13">
      <c r="A24" t="s">
        <v>73</v>
      </c>
      <c r="B24" s="52">
        <v>66.110456748330165</v>
      </c>
      <c r="C24" s="53">
        <f t="shared" si="1"/>
        <v>65</v>
      </c>
      <c r="D24" s="53">
        <f t="shared" si="1"/>
        <v>74</v>
      </c>
      <c r="E24"/>
      <c r="F24" s="54">
        <f>IF(B28="C", D14,F14)</f>
        <v>982</v>
      </c>
      <c r="G24" s="55">
        <f>F24/SUM(F22:F27)</f>
        <v>0.37610111068556107</v>
      </c>
      <c r="H24">
        <f t="shared" si="2"/>
        <v>65</v>
      </c>
      <c r="I24">
        <f t="shared" si="2"/>
        <v>74</v>
      </c>
      <c r="J24"/>
      <c r="K24"/>
      <c r="L24"/>
      <c r="M24"/>
    </row>
    <row r="25" spans="1:13">
      <c r="A25" t="s">
        <v>74</v>
      </c>
      <c r="B25" s="52">
        <v>10.903129962358236</v>
      </c>
      <c r="C25" s="53">
        <f t="shared" si="1"/>
        <v>75</v>
      </c>
      <c r="D25" s="53">
        <f t="shared" si="1"/>
        <v>100</v>
      </c>
      <c r="E25"/>
      <c r="F25" s="54">
        <f>IF(B28="C", D15,F15)</f>
        <v>534</v>
      </c>
      <c r="G25" s="55">
        <f>F25/SUM(F22:F27)</f>
        <v>0.20451934124856377</v>
      </c>
      <c r="H25">
        <f t="shared" si="2"/>
        <v>75</v>
      </c>
      <c r="I25">
        <f t="shared" si="2"/>
        <v>100</v>
      </c>
      <c r="J25"/>
      <c r="K25"/>
      <c r="L25"/>
      <c r="M25"/>
    </row>
    <row r="26" spans="1:13">
      <c r="A26"/>
      <c r="B26"/>
      <c r="C26" s="53">
        <f t="shared" si="1"/>
        <v>0</v>
      </c>
      <c r="D26" s="53">
        <f t="shared" si="1"/>
        <v>0</v>
      </c>
      <c r="E26"/>
      <c r="F26" s="54">
        <f>IF(B28="C", D16,F16)</f>
        <v>0</v>
      </c>
      <c r="G26" s="55">
        <f>F26/SUM(F22:F27)</f>
        <v>0</v>
      </c>
      <c r="H26">
        <f t="shared" si="2"/>
        <v>0</v>
      </c>
      <c r="I26">
        <f t="shared" si="2"/>
        <v>0</v>
      </c>
      <c r="J26"/>
      <c r="K26"/>
      <c r="L26"/>
      <c r="M26"/>
    </row>
    <row r="27" spans="1:13">
      <c r="A27"/>
      <c r="B27"/>
      <c r="C27" s="53">
        <f t="shared" si="1"/>
        <v>0</v>
      </c>
      <c r="D27" s="53">
        <f t="shared" si="1"/>
        <v>0</v>
      </c>
      <c r="E27"/>
      <c r="F27" s="54">
        <f>IF(B28="C", D17,F17)</f>
        <v>0</v>
      </c>
      <c r="G27" s="55">
        <f>F27/SUM(F22:F27)</f>
        <v>0</v>
      </c>
      <c r="H27">
        <f t="shared" si="2"/>
        <v>0</v>
      </c>
      <c r="I27">
        <f t="shared" si="2"/>
        <v>0</v>
      </c>
      <c r="J27"/>
      <c r="K27"/>
      <c r="L27"/>
      <c r="M27"/>
    </row>
    <row r="28" spans="1:13">
      <c r="A28" s="56" t="s">
        <v>75</v>
      </c>
      <c r="B28" s="30" t="s">
        <v>76</v>
      </c>
      <c r="C28"/>
      <c r="D28"/>
      <c r="E28"/>
      <c r="F28" s="57">
        <f>SUM(F22:F27)</f>
        <v>2611</v>
      </c>
      <c r="G28"/>
      <c r="H28"/>
      <c r="I28"/>
      <c r="J28"/>
      <c r="K28"/>
      <c r="L28"/>
      <c r="M28"/>
    </row>
    <row r="29" spans="1:13">
      <c r="A29" s="30" t="s">
        <v>77</v>
      </c>
      <c r="B29"/>
      <c r="C29"/>
      <c r="D29"/>
      <c r="E29"/>
      <c r="F29"/>
      <c r="G29"/>
      <c r="H29"/>
      <c r="I29"/>
      <c r="J29"/>
      <c r="K29"/>
      <c r="L29"/>
      <c r="M29"/>
    </row>
    <row r="30" spans="1:13">
      <c r="A30"/>
      <c r="B30"/>
      <c r="C30"/>
      <c r="D30"/>
      <c r="E30"/>
      <c r="F30"/>
      <c r="G30"/>
      <c r="H30"/>
      <c r="I30"/>
      <c r="J30"/>
      <c r="K30"/>
      <c r="L30"/>
      <c r="M30"/>
    </row>
    <row r="31" spans="1:13">
      <c r="A31"/>
      <c r="B31"/>
      <c r="C31" t="s">
        <v>78</v>
      </c>
      <c r="D31" t="s">
        <v>79</v>
      </c>
      <c r="E31" t="s">
        <v>80</v>
      </c>
      <c r="F31"/>
      <c r="G31"/>
      <c r="H31"/>
      <c r="I31" t="s">
        <v>81</v>
      </c>
      <c r="J31"/>
      <c r="K31"/>
      <c r="L31"/>
      <c r="M31"/>
    </row>
    <row r="32" spans="1:13">
      <c r="A32">
        <f>IF(B28="C", _xlfn.NORM.DIST(H22,B24,B25,TRUE),  _xlfn.NORM.DIST(H22,B22,B23,TRUE))</f>
        <v>1.1129916747430204E-9</v>
      </c>
      <c r="B32">
        <f>IF(B28="C", _xlfn.NORM.DIST(I22,B24,B25,TRUE),  _xlfn.NORM.DIST(I22,B22,B23,TRUE))</f>
        <v>0.16065087292467323</v>
      </c>
      <c r="C32" s="55">
        <f t="shared" ref="C32:C37" si="3">IF(D22=0,0,B32-A32)</f>
        <v>0.16065087181168156</v>
      </c>
      <c r="D32" s="55">
        <f>C32*SUM(F22:F27)</f>
        <v>419.45942630030055</v>
      </c>
      <c r="E32">
        <f t="shared" ref="E32:E37" si="4">IF(F22=0,0,F22*LN(C32))</f>
        <v>-813.69218616292801</v>
      </c>
      <c r="F32"/>
      <c r="G32"/>
      <c r="H32"/>
      <c r="I32">
        <f t="shared" ref="I32:I37" si="5">IF(F22=0,0,F22*LN(G22))</f>
        <v>-787.38935750713551</v>
      </c>
      <c r="J32"/>
      <c r="K32"/>
      <c r="L32"/>
      <c r="M32"/>
    </row>
    <row r="33" spans="1:13">
      <c r="A33">
        <f>IF(B28="C", _xlfn.NORM.DIST(H23,B24,B25,TRUE),  _xlfn.NORM.DIST(H23,B22,B23,TRUE))</f>
        <v>0.16065087292467323</v>
      </c>
      <c r="B33">
        <f>IF(B28="C", _xlfn.NORM.DIST(I23,B24,B25,TRUE),  _xlfn.NORM.DIST(I23,B22,B23,TRUE))</f>
        <v>0.43035566652705737</v>
      </c>
      <c r="C33" s="55">
        <f t="shared" si="3"/>
        <v>0.26970479360238414</v>
      </c>
      <c r="D33" s="55">
        <f>C33*SUM(F22:F27)</f>
        <v>704.19921609582502</v>
      </c>
      <c r="E33">
        <f t="shared" si="4"/>
        <v>-851.77772885581965</v>
      </c>
      <c r="F33"/>
      <c r="G33"/>
      <c r="H33"/>
      <c r="I33">
        <f t="shared" si="5"/>
        <v>-903.83553377613987</v>
      </c>
      <c r="J33"/>
      <c r="K33"/>
      <c r="L33"/>
      <c r="M33"/>
    </row>
    <row r="34" spans="1:13">
      <c r="A34">
        <f>IF(B28="C", _xlfn.NORM.DIST(H24,B24,B25,TRUE),  _xlfn.NORM.DIST(H24,B22,B23,TRUE))</f>
        <v>0.46622340267704154</v>
      </c>
      <c r="B34">
        <f>IF(B28="C", _xlfn.NORM.DIST(I24,B24,B25,TRUE),  _xlfn.NORM.DIST(I24,B22,B23,TRUE))</f>
        <v>0.76777862391395468</v>
      </c>
      <c r="C34" s="55">
        <f t="shared" si="3"/>
        <v>0.30155522123691314</v>
      </c>
      <c r="D34" s="55">
        <f>C34*SUM(F22:F27)</f>
        <v>787.36068264958021</v>
      </c>
      <c r="E34">
        <f t="shared" si="4"/>
        <v>-1177.2236863288119</v>
      </c>
      <c r="F34"/>
      <c r="G34"/>
      <c r="H34"/>
      <c r="I34">
        <f t="shared" si="5"/>
        <v>-960.29510965845907</v>
      </c>
      <c r="J34"/>
      <c r="K34"/>
      <c r="L34"/>
      <c r="M34"/>
    </row>
    <row r="35" spans="1:13">
      <c r="A35">
        <f>IF(B28="C", _xlfn.NORM.DIST(H25,B24,B25,TRUE),  _xlfn.NORM.DIST(H25,B22,B23,TRUE))</f>
        <v>0.79453348794539447</v>
      </c>
      <c r="B35">
        <f>IF(B28="C", _xlfn.NORM.DIST(I25,B24,B25,TRUE),  _xlfn.NORM.DIST(I25,B22,B23,TRUE))</f>
        <v>0.99899854950458278</v>
      </c>
      <c r="C35" s="55">
        <f t="shared" si="3"/>
        <v>0.20446506155918831</v>
      </c>
      <c r="D35" s="55">
        <f>C35*SUM(F22:F27)</f>
        <v>533.85827573104064</v>
      </c>
      <c r="E35">
        <f t="shared" si="4"/>
        <v>-847.64926075977758</v>
      </c>
      <c r="F35"/>
      <c r="G35"/>
      <c r="H35"/>
      <c r="I35">
        <f t="shared" si="5"/>
        <v>-847.50751768059069</v>
      </c>
      <c r="J35"/>
      <c r="K35"/>
      <c r="L35"/>
      <c r="M35"/>
    </row>
    <row r="36" spans="1:13">
      <c r="A36">
        <f>IF(B28="C", _xlfn.NORM.DIST(H26,B24,B25,TRUE),  _xlfn.NORM.DIST(H26,B22,B23,TRUE))</f>
        <v>1.1129916747430204E-9</v>
      </c>
      <c r="B36">
        <f>IF(B28="C", _xlfn.NORM.DIST(I26,B24,B25,TRUE),  _xlfn.NORM.DIST(I26,B22,B23,TRUE))</f>
        <v>1.1129916747430204E-9</v>
      </c>
      <c r="C36" s="55">
        <f t="shared" si="3"/>
        <v>0</v>
      </c>
      <c r="D36" s="55">
        <f>C36*SUM(F22:F27)</f>
        <v>0</v>
      </c>
      <c r="E36">
        <f t="shared" si="4"/>
        <v>0</v>
      </c>
      <c r="F36"/>
      <c r="G36"/>
      <c r="H36"/>
      <c r="I36">
        <f t="shared" si="5"/>
        <v>0</v>
      </c>
      <c r="J36"/>
      <c r="K36"/>
      <c r="L36"/>
      <c r="M36"/>
    </row>
    <row r="37" spans="1:13">
      <c r="A37">
        <f>IF(B28="C", _xlfn.NORM.DIST(H27,B24,B25,TRUE),  _xlfn.NORM.DIST(H27,B22,B23,TRUE))</f>
        <v>1.1129916747430204E-9</v>
      </c>
      <c r="B37">
        <f>IF(B28="C", _xlfn.NORM.DIST(I27,B24,B25,TRUE),  _xlfn.NORM.DIST(I27,B22,B23,TRUE))</f>
        <v>1.1129916747430204E-9</v>
      </c>
      <c r="C37" s="55">
        <f t="shared" si="3"/>
        <v>0</v>
      </c>
      <c r="D37" s="55">
        <f>C37*SUM(F22:F27)</f>
        <v>0</v>
      </c>
      <c r="E37">
        <f t="shared" si="4"/>
        <v>0</v>
      </c>
      <c r="F37"/>
      <c r="G37"/>
      <c r="H37"/>
      <c r="I37">
        <f t="shared" si="5"/>
        <v>0</v>
      </c>
      <c r="J37"/>
      <c r="K37"/>
      <c r="L37"/>
      <c r="M37"/>
    </row>
    <row r="38" spans="1:13">
      <c r="A38"/>
      <c r="B38"/>
      <c r="C38"/>
      <c r="D38"/>
      <c r="E38"/>
      <c r="F38"/>
      <c r="G38"/>
      <c r="H38"/>
      <c r="I38"/>
      <c r="J38"/>
      <c r="K38"/>
      <c r="L38"/>
      <c r="M38"/>
    </row>
    <row r="39" spans="1:13">
      <c r="A39"/>
      <c r="B39"/>
      <c r="C39"/>
      <c r="D39"/>
      <c r="E39" t="s">
        <v>82</v>
      </c>
      <c r="F39"/>
      <c r="G39"/>
      <c r="H39"/>
      <c r="I39"/>
      <c r="J39"/>
      <c r="K39" t="s">
        <v>83</v>
      </c>
      <c r="L39" t="s">
        <v>84</v>
      </c>
      <c r="M39"/>
    </row>
    <row r="40" spans="1:13">
      <c r="A40"/>
      <c r="B40"/>
      <c r="C40" s="57">
        <f>SUM(C32:C37)</f>
        <v>0.93637594821016712</v>
      </c>
      <c r="D40" s="57">
        <f t="shared" ref="D40:E40" si="6">SUM(D32:D37)</f>
        <v>2444.8776007767465</v>
      </c>
      <c r="E40" s="57">
        <f t="shared" si="6"/>
        <v>-3690.3428621073372</v>
      </c>
      <c r="F40"/>
      <c r="G40"/>
      <c r="H40"/>
      <c r="I40" s="58">
        <f>SUM(I32:I35)</f>
        <v>-3499.0275186223253</v>
      </c>
      <c r="J40"/>
      <c r="K40">
        <f>2*(I40-E40)</f>
        <v>382.63068697002382</v>
      </c>
      <c r="L40">
        <f>I42-E42</f>
        <v>1</v>
      </c>
      <c r="M40" s="58">
        <f>_xlfn.CHISQ.DIST.RT(K40,L40)</f>
        <v>3.3283154669781581E-85</v>
      </c>
    </row>
    <row r="41" spans="1:13">
      <c r="A41"/>
      <c r="B41"/>
      <c r="C41"/>
      <c r="D41"/>
      <c r="E41" t="s">
        <v>85</v>
      </c>
      <c r="F41"/>
      <c r="G41"/>
      <c r="H41"/>
      <c r="I41" t="s">
        <v>86</v>
      </c>
      <c r="J41"/>
      <c r="K41"/>
      <c r="L41"/>
      <c r="M41"/>
    </row>
    <row r="42" spans="1:13">
      <c r="A42"/>
      <c r="B42"/>
      <c r="C42"/>
      <c r="D42"/>
      <c r="E42">
        <v>2</v>
      </c>
      <c r="F42"/>
      <c r="G42"/>
      <c r="H42"/>
      <c r="I42">
        <f>COUNTIF(F22:F27, "&gt;0")-1</f>
        <v>3</v>
      </c>
      <c r="J42"/>
      <c r="K42"/>
      <c r="L42"/>
      <c r="M42"/>
    </row>
  </sheetData>
  <autoFilter ref="A1:I8" xr:uid="{8E9D7E18-A9B3-4191-9DBB-B80908E44EFC}">
    <sortState xmlns:xlrd2="http://schemas.microsoft.com/office/spreadsheetml/2017/richdata2" ref="A2:I8">
      <sortCondition ref="E1:E8"/>
    </sortState>
  </autoFilter>
  <mergeCells count="2">
    <mergeCell ref="C21:D21"/>
    <mergeCell ref="H21:I21"/>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562F4-DCAC-49D9-8CA4-43FA231BF3EC}">
  <dimension ref="A1:J15"/>
  <sheetViews>
    <sheetView topLeftCell="A5" workbookViewId="0">
      <selection activeCell="H6" sqref="H6"/>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43.15">
      <c r="A2" s="103" t="s">
        <v>328</v>
      </c>
      <c r="B2" s="13" t="s">
        <v>28</v>
      </c>
      <c r="C2" s="9" t="s">
        <v>29</v>
      </c>
      <c r="D2" s="22" t="s">
        <v>329</v>
      </c>
      <c r="E2" s="103" t="s">
        <v>330</v>
      </c>
      <c r="F2" s="103" t="s">
        <v>31</v>
      </c>
      <c r="G2" s="9" t="s">
        <v>134</v>
      </c>
      <c r="H2" s="103" t="s">
        <v>331</v>
      </c>
      <c r="I2" s="103" t="s">
        <v>332</v>
      </c>
      <c r="J2" s="104"/>
    </row>
    <row r="3" spans="1:10" ht="43.15">
      <c r="A3" s="103" t="s">
        <v>328</v>
      </c>
      <c r="B3" s="13" t="s">
        <v>35</v>
      </c>
      <c r="C3" s="9" t="s">
        <v>267</v>
      </c>
      <c r="D3" s="22">
        <v>17.100000000000001</v>
      </c>
      <c r="E3" s="103" t="s">
        <v>330</v>
      </c>
      <c r="F3" s="103" t="s">
        <v>31</v>
      </c>
      <c r="G3" s="9" t="s">
        <v>134</v>
      </c>
      <c r="H3" s="103" t="s">
        <v>333</v>
      </c>
      <c r="I3" s="103" t="s">
        <v>332</v>
      </c>
      <c r="J3" s="104"/>
    </row>
    <row r="4" spans="1:10" ht="43.15">
      <c r="A4" s="103" t="s">
        <v>328</v>
      </c>
      <c r="B4" s="13" t="s">
        <v>43</v>
      </c>
      <c r="C4" s="103" t="s">
        <v>272</v>
      </c>
      <c r="D4" s="22" t="s">
        <v>45</v>
      </c>
      <c r="E4" s="103" t="s">
        <v>330</v>
      </c>
      <c r="F4" s="103" t="s">
        <v>31</v>
      </c>
      <c r="G4" s="9" t="s">
        <v>134</v>
      </c>
      <c r="H4" s="27" t="s">
        <v>46</v>
      </c>
      <c r="I4" s="103" t="s">
        <v>332</v>
      </c>
      <c r="J4" s="104"/>
    </row>
    <row r="5" spans="1:10" ht="75">
      <c r="A5" s="103" t="s">
        <v>328</v>
      </c>
      <c r="B5" s="13" t="s">
        <v>47</v>
      </c>
      <c r="C5" s="9" t="s">
        <v>276</v>
      </c>
      <c r="D5" s="24" t="s">
        <v>49</v>
      </c>
      <c r="E5" s="103" t="s">
        <v>330</v>
      </c>
      <c r="F5" s="103" t="s">
        <v>31</v>
      </c>
      <c r="G5" s="9" t="s">
        <v>134</v>
      </c>
      <c r="H5" s="29" t="s">
        <v>50</v>
      </c>
      <c r="I5" s="103" t="s">
        <v>332</v>
      </c>
      <c r="J5" s="104"/>
    </row>
    <row r="6" spans="1:10" ht="108" customHeight="1">
      <c r="A6" s="103" t="s">
        <v>328</v>
      </c>
      <c r="B6" s="13" t="s">
        <v>51</v>
      </c>
      <c r="C6" s="9" t="s">
        <v>52</v>
      </c>
      <c r="D6" s="3" t="s">
        <v>277</v>
      </c>
      <c r="E6" s="103" t="s">
        <v>330</v>
      </c>
      <c r="F6" s="103" t="s">
        <v>31</v>
      </c>
      <c r="G6" s="9" t="s">
        <v>134</v>
      </c>
      <c r="H6" s="103" t="s">
        <v>278</v>
      </c>
      <c r="I6" s="103" t="s">
        <v>332</v>
      </c>
      <c r="J6" s="104"/>
    </row>
    <row r="9" spans="1:10">
      <c r="A9" s="103" t="s">
        <v>334</v>
      </c>
      <c r="C9" s="103" t="s">
        <v>335</v>
      </c>
      <c r="E9" s="103"/>
      <c r="F9" s="103"/>
      <c r="G9" s="103"/>
      <c r="H9" s="103"/>
      <c r="I9" s="103"/>
      <c r="J9" s="104"/>
    </row>
    <row r="10" spans="1:10">
      <c r="A10" s="103">
        <v>7.0000000000000001E-3</v>
      </c>
      <c r="B10" s="13">
        <v>0.05</v>
      </c>
      <c r="C10" s="103">
        <f>10^(-0.4+0.1*LOG10(A10))</f>
        <v>0.24238726817660941</v>
      </c>
      <c r="D10" s="103">
        <f>10^(1.4+0.9*LOG10(B10))</f>
        <v>1.6946226386699148</v>
      </c>
      <c r="E10" s="103"/>
      <c r="F10" s="103">
        <v>0.24</v>
      </c>
      <c r="G10" s="103">
        <v>1.7</v>
      </c>
      <c r="H10" s="103"/>
      <c r="I10" s="103"/>
      <c r="J10" s="104"/>
    </row>
    <row r="11" spans="1:10">
      <c r="A11" s="103">
        <v>0.05</v>
      </c>
      <c r="B11" s="13">
        <v>7.6799999999999993E-2</v>
      </c>
      <c r="C11" s="103">
        <f>10^(1.4+0.9*LOG10(A11))</f>
        <v>1.6946226386699148</v>
      </c>
      <c r="D11" s="103">
        <f t="shared" ref="D11:D13" si="0">10^(1.4+0.9*LOG10(B11))</f>
        <v>2.4935902893794832</v>
      </c>
      <c r="E11" s="103"/>
      <c r="F11" s="103">
        <v>1.7</v>
      </c>
      <c r="G11" s="103">
        <v>2.4900000000000002</v>
      </c>
      <c r="H11" s="103"/>
      <c r="I11" s="103"/>
      <c r="J11" s="104"/>
    </row>
    <row r="12" spans="1:10">
      <c r="A12" s="103">
        <v>7.6799999999999993E-2</v>
      </c>
      <c r="B12" s="13">
        <v>0.1137</v>
      </c>
      <c r="C12" s="103">
        <f>10^(1.4+0.9*LOG10(A12))</f>
        <v>2.4935902893794832</v>
      </c>
      <c r="D12" s="103">
        <f t="shared" si="0"/>
        <v>3.5496408870343674</v>
      </c>
      <c r="E12" s="103"/>
      <c r="F12" s="103">
        <v>2.4900000000000002</v>
      </c>
      <c r="G12" s="103">
        <v>3.55</v>
      </c>
      <c r="H12" s="103"/>
      <c r="I12" s="103"/>
      <c r="J12" s="104"/>
    </row>
    <row r="13" spans="1:10">
      <c r="A13" s="103">
        <v>0.1137</v>
      </c>
      <c r="B13" s="13">
        <v>1.57</v>
      </c>
      <c r="C13" s="103">
        <f t="shared" ref="C13" si="1">10^(1.4+0.9*LOG10(A13))</f>
        <v>3.5496408870343674</v>
      </c>
      <c r="D13" s="103">
        <f t="shared" si="0"/>
        <v>37.697251512396399</v>
      </c>
      <c r="E13" s="103"/>
      <c r="F13" s="103">
        <v>3.55</v>
      </c>
      <c r="G13" s="103">
        <v>37.700000000000003</v>
      </c>
      <c r="H13" s="103"/>
      <c r="I13" s="103"/>
      <c r="J13" s="104"/>
    </row>
    <row r="15" spans="1:10" ht="126.95" customHeight="1">
      <c r="A15" s="106" t="s">
        <v>336</v>
      </c>
      <c r="B15" s="107"/>
      <c r="C15" s="107"/>
      <c r="D15" s="107"/>
      <c r="E15" s="103"/>
      <c r="F15" s="103"/>
      <c r="G15" s="103"/>
      <c r="H15" s="103"/>
      <c r="I15" s="103"/>
      <c r="J15" s="104"/>
    </row>
  </sheetData>
  <autoFilter ref="A1:I6" xr:uid="{8E9D7E18-A9B3-4191-9DBB-B80908E44EFC}">
    <sortState xmlns:xlrd2="http://schemas.microsoft.com/office/spreadsheetml/2017/richdata2" ref="A2:I6">
      <sortCondition ref="E1:E6"/>
    </sortState>
  </autoFilter>
  <mergeCells count="1">
    <mergeCell ref="A15:D15"/>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07D40-93E6-4723-90FA-B7FFB275C3CE}">
  <dimension ref="A1:J27"/>
  <sheetViews>
    <sheetView topLeftCell="A3" workbookViewId="0">
      <selection activeCell="C31" sqref="C31"/>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28.9">
      <c r="A2" s="104" t="s">
        <v>151</v>
      </c>
      <c r="B2" s="16" t="s">
        <v>28</v>
      </c>
      <c r="C2" s="9" t="s">
        <v>29</v>
      </c>
      <c r="D2" s="11">
        <v>55</v>
      </c>
      <c r="E2" s="103" t="s">
        <v>337</v>
      </c>
      <c r="F2" s="103" t="s">
        <v>153</v>
      </c>
      <c r="G2" s="9" t="s">
        <v>154</v>
      </c>
      <c r="H2" s="103" t="s">
        <v>338</v>
      </c>
      <c r="I2" s="104" t="s">
        <v>339</v>
      </c>
      <c r="J2" s="104"/>
    </row>
    <row r="3" spans="1:10" ht="43.15">
      <c r="A3" s="104" t="s">
        <v>151</v>
      </c>
      <c r="B3" s="16" t="s">
        <v>35</v>
      </c>
      <c r="C3" s="9" t="s">
        <v>36</v>
      </c>
      <c r="D3" s="11">
        <v>24</v>
      </c>
      <c r="E3" s="103" t="s">
        <v>337</v>
      </c>
      <c r="F3" s="103" t="s">
        <v>153</v>
      </c>
      <c r="G3" s="9" t="s">
        <v>154</v>
      </c>
      <c r="H3" s="9" t="s">
        <v>340</v>
      </c>
      <c r="I3" s="104" t="s">
        <v>339</v>
      </c>
      <c r="J3" s="104"/>
    </row>
    <row r="4" spans="1:10" ht="43.15">
      <c r="A4" s="104" t="s">
        <v>151</v>
      </c>
      <c r="B4" s="16" t="s">
        <v>43</v>
      </c>
      <c r="C4" s="9" t="s">
        <v>44</v>
      </c>
      <c r="D4" s="2" t="s">
        <v>158</v>
      </c>
      <c r="E4" s="103" t="s">
        <v>337</v>
      </c>
      <c r="F4" s="103" t="s">
        <v>153</v>
      </c>
      <c r="G4" s="9" t="s">
        <v>154</v>
      </c>
      <c r="H4" s="9" t="s">
        <v>159</v>
      </c>
      <c r="I4" s="104" t="s">
        <v>339</v>
      </c>
      <c r="J4" s="104"/>
    </row>
    <row r="5" spans="1:10" ht="57.6">
      <c r="A5" s="104" t="s">
        <v>151</v>
      </c>
      <c r="B5" s="16" t="s">
        <v>47</v>
      </c>
      <c r="C5" s="103" t="s">
        <v>95</v>
      </c>
      <c r="D5" s="2" t="s">
        <v>160</v>
      </c>
      <c r="E5" s="103" t="s">
        <v>337</v>
      </c>
      <c r="F5" s="103" t="s">
        <v>153</v>
      </c>
      <c r="G5" s="103" t="s">
        <v>154</v>
      </c>
      <c r="H5" s="103" t="s">
        <v>161</v>
      </c>
      <c r="I5" s="104" t="s">
        <v>339</v>
      </c>
      <c r="J5" s="104"/>
    </row>
    <row r="6" spans="1:10" ht="57.6">
      <c r="A6" s="104" t="s">
        <v>151</v>
      </c>
      <c r="B6" s="16" t="s">
        <v>162</v>
      </c>
      <c r="C6" s="103" t="s">
        <v>163</v>
      </c>
      <c r="D6" s="2" t="s">
        <v>341</v>
      </c>
      <c r="E6" s="103" t="s">
        <v>337</v>
      </c>
      <c r="F6" s="103" t="s">
        <v>153</v>
      </c>
      <c r="G6" s="103" t="s">
        <v>154</v>
      </c>
      <c r="H6" s="103" t="s">
        <v>342</v>
      </c>
      <c r="I6" s="104" t="s">
        <v>339</v>
      </c>
      <c r="J6" s="104"/>
    </row>
    <row r="7" spans="1:10" ht="57.6">
      <c r="A7" s="104" t="s">
        <v>151</v>
      </c>
      <c r="B7" s="16" t="s">
        <v>51</v>
      </c>
      <c r="C7" s="103" t="s">
        <v>52</v>
      </c>
      <c r="D7" s="2" t="s">
        <v>166</v>
      </c>
      <c r="E7" s="103" t="s">
        <v>337</v>
      </c>
      <c r="F7" s="103" t="s">
        <v>153</v>
      </c>
      <c r="G7" s="103" t="s">
        <v>154</v>
      </c>
      <c r="H7" s="23" t="s">
        <v>343</v>
      </c>
      <c r="I7" s="104" t="s">
        <v>339</v>
      </c>
      <c r="J7" s="104"/>
    </row>
    <row r="9" spans="1:10">
      <c r="A9" s="82" t="s">
        <v>344</v>
      </c>
      <c r="B9" s="74"/>
      <c r="C9" s="74"/>
      <c r="D9" s="75"/>
      <c r="E9"/>
      <c r="F9" s="103"/>
      <c r="G9" s="103"/>
      <c r="H9" s="103"/>
      <c r="I9" s="103"/>
      <c r="J9" s="104"/>
    </row>
    <row r="10" spans="1:10">
      <c r="A10" s="76"/>
      <c r="B10" s="76" t="s">
        <v>184</v>
      </c>
      <c r="C10" s="76" t="s">
        <v>185</v>
      </c>
      <c r="D10" s="76" t="s">
        <v>186</v>
      </c>
      <c r="E10"/>
      <c r="F10" s="103"/>
      <c r="G10" s="103"/>
      <c r="H10" s="103"/>
      <c r="I10" s="103"/>
      <c r="J10" s="104"/>
    </row>
    <row r="11" spans="1:10">
      <c r="A11" s="76" t="s">
        <v>187</v>
      </c>
      <c r="B11" s="77">
        <v>0.27272727272727271</v>
      </c>
      <c r="C11" s="77">
        <v>0.3</v>
      </c>
      <c r="D11" s="77">
        <v>0.28636363636363638</v>
      </c>
      <c r="E11"/>
      <c r="F11" s="103"/>
      <c r="G11" s="103"/>
      <c r="H11" s="103"/>
      <c r="I11" s="103"/>
      <c r="J11" s="104"/>
    </row>
    <row r="12" spans="1:10">
      <c r="A12" s="76" t="s">
        <v>188</v>
      </c>
      <c r="B12" s="78">
        <v>0.90909090909090906</v>
      </c>
      <c r="C12" s="78">
        <v>1</v>
      </c>
      <c r="D12" s="78">
        <v>0.95454545454545459</v>
      </c>
      <c r="E12"/>
      <c r="F12" s="103"/>
      <c r="G12" s="103"/>
      <c r="H12" s="103"/>
      <c r="I12" s="103"/>
      <c r="J12" s="104"/>
    </row>
    <row r="13" spans="1:10">
      <c r="A13" s="76" t="s">
        <v>189</v>
      </c>
      <c r="B13" s="77">
        <v>3.8363636363636364</v>
      </c>
      <c r="C13" s="77">
        <v>4.22</v>
      </c>
      <c r="D13" s="77">
        <v>4.0281818181818183</v>
      </c>
      <c r="E13"/>
      <c r="F13" s="103"/>
      <c r="G13" s="103"/>
      <c r="H13" s="103"/>
      <c r="I13" s="103"/>
      <c r="J13" s="104"/>
    </row>
    <row r="14" spans="1:10">
      <c r="A14" s="76" t="s">
        <v>190</v>
      </c>
      <c r="B14" s="78">
        <v>1.8345454545454547</v>
      </c>
      <c r="C14" s="78">
        <v>2.0180000000000002</v>
      </c>
      <c r="D14" s="78">
        <v>1.9262727272727274</v>
      </c>
      <c r="E14"/>
      <c r="F14" s="103"/>
      <c r="G14" s="103"/>
      <c r="H14" s="103"/>
      <c r="I14" s="103"/>
      <c r="J14" s="104"/>
    </row>
    <row r="15" spans="1:10">
      <c r="A15"/>
      <c r="B15"/>
      <c r="C15"/>
      <c r="D15"/>
      <c r="E15"/>
      <c r="F15" s="103"/>
      <c r="G15" s="103"/>
      <c r="H15" s="103"/>
      <c r="I15" s="103"/>
      <c r="J15" s="104"/>
    </row>
    <row r="16" spans="1:10" ht="43.15">
      <c r="A16" s="50" t="s">
        <v>173</v>
      </c>
      <c r="B16" s="50" t="s">
        <v>174</v>
      </c>
      <c r="C16" t="s">
        <v>175</v>
      </c>
      <c r="D16" t="s">
        <v>176</v>
      </c>
      <c r="E16"/>
      <c r="F16" s="103"/>
      <c r="G16" s="103"/>
      <c r="H16" s="103"/>
      <c r="I16" s="103"/>
      <c r="J16" s="104"/>
    </row>
    <row r="17" spans="1:10">
      <c r="A17" s="35" t="s">
        <v>345</v>
      </c>
      <c r="B17">
        <v>10.21574</v>
      </c>
      <c r="C17">
        <f>50/267</f>
        <v>0.18726591760299627</v>
      </c>
      <c r="D17">
        <f>B17*C17</f>
        <v>1.9130599250936331</v>
      </c>
      <c r="E17"/>
      <c r="F17" s="103"/>
      <c r="G17" s="103"/>
      <c r="H17" s="103"/>
      <c r="I17" s="103"/>
      <c r="J17" s="104"/>
    </row>
    <row r="18" spans="1:10">
      <c r="A18" s="35" t="s">
        <v>346</v>
      </c>
      <c r="B18">
        <v>20.547840000000001</v>
      </c>
      <c r="C18">
        <f>141/267</f>
        <v>0.5280898876404494</v>
      </c>
      <c r="D18">
        <f>B18*C18</f>
        <v>10.851106516853932</v>
      </c>
      <c r="E18"/>
      <c r="F18" s="103"/>
      <c r="G18" s="103"/>
      <c r="H18" s="103"/>
      <c r="I18" s="103"/>
      <c r="J18" s="104"/>
    </row>
    <row r="19" spans="1:10">
      <c r="A19" s="35" t="s">
        <v>178</v>
      </c>
      <c r="B19">
        <v>38.202779999999997</v>
      </c>
      <c r="C19">
        <f>76/267</f>
        <v>0.28464419475655428</v>
      </c>
      <c r="D19">
        <f>B19*C19</f>
        <v>10.874199550561796</v>
      </c>
      <c r="E19"/>
      <c r="F19" s="103"/>
      <c r="G19" s="103"/>
      <c r="H19" s="103"/>
      <c r="I19" s="103"/>
      <c r="J19" s="104"/>
    </row>
    <row r="20" spans="1:10">
      <c r="A20" s="35"/>
      <c r="B20" t="s">
        <v>179</v>
      </c>
      <c r="C20"/>
      <c r="D20">
        <f>SUM(D17:D19)</f>
        <v>23.63836599250936</v>
      </c>
      <c r="E20"/>
      <c r="F20" s="103"/>
      <c r="G20" s="103"/>
      <c r="H20" s="103"/>
      <c r="I20" s="103"/>
      <c r="J20" s="104"/>
    </row>
    <row r="22" spans="1:10" customFormat="1" ht="16.149999999999999">
      <c r="A22" s="30" t="s">
        <v>301</v>
      </c>
      <c r="B22" s="30" t="s">
        <v>169</v>
      </c>
    </row>
    <row r="23" spans="1:10" customFormat="1">
      <c r="B23" s="31">
        <v>0.01</v>
      </c>
      <c r="C23" s="31">
        <v>0.05</v>
      </c>
      <c r="D23" s="31">
        <v>0.1</v>
      </c>
      <c r="E23" s="31">
        <v>0.25</v>
      </c>
      <c r="F23" s="31">
        <v>0.5</v>
      </c>
      <c r="G23" s="31">
        <v>0.75</v>
      </c>
      <c r="H23" s="31">
        <v>0.9</v>
      </c>
      <c r="I23" s="31">
        <v>0.95</v>
      </c>
      <c r="J23" s="31">
        <v>0.99</v>
      </c>
    </row>
    <row r="24" spans="1:10" customFormat="1">
      <c r="A24" t="s">
        <v>170</v>
      </c>
      <c r="B24">
        <v>5.0999999999999996</v>
      </c>
      <c r="C24">
        <v>10.5</v>
      </c>
      <c r="D24">
        <v>12.7</v>
      </c>
      <c r="E24">
        <v>20.100000000000001</v>
      </c>
      <c r="F24">
        <v>31.1</v>
      </c>
      <c r="G24">
        <v>47.4</v>
      </c>
      <c r="H24">
        <v>62.7</v>
      </c>
      <c r="I24">
        <v>78.2</v>
      </c>
      <c r="J24">
        <v>95.9</v>
      </c>
    </row>
    <row r="25" spans="1:10" customFormat="1">
      <c r="A25" t="s">
        <v>171</v>
      </c>
      <c r="B25">
        <v>319</v>
      </c>
      <c r="C25">
        <v>655</v>
      </c>
      <c r="D25">
        <v>792</v>
      </c>
      <c r="E25" s="32">
        <v>1254</v>
      </c>
      <c r="F25" s="32">
        <v>1941</v>
      </c>
      <c r="G25" s="32">
        <v>2965</v>
      </c>
      <c r="H25" s="32">
        <v>3916</v>
      </c>
      <c r="I25" s="32">
        <v>4885</v>
      </c>
      <c r="J25" s="32">
        <v>5994</v>
      </c>
    </row>
    <row r="26" spans="1:10" customFormat="1"/>
    <row r="27" spans="1:10" customFormat="1">
      <c r="A27" t="s">
        <v>347</v>
      </c>
    </row>
  </sheetData>
  <autoFilter ref="A1:I7" xr:uid="{8E9D7E18-A9B3-4191-9DBB-B80908E44EFC}">
    <sortState xmlns:xlrd2="http://schemas.microsoft.com/office/spreadsheetml/2017/richdata2" ref="A2:I7">
      <sortCondition ref="E1:E7"/>
    </sortState>
  </autoFilter>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519DA-2E14-405A-B698-CA8E8B7D4550}">
  <dimension ref="A1:J4"/>
  <sheetViews>
    <sheetView workbookViewId="0">
      <selection activeCell="H6" sqref="H6"/>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30.75">
      <c r="A2" s="104" t="s">
        <v>10</v>
      </c>
      <c r="B2" s="16" t="s">
        <v>11</v>
      </c>
      <c r="C2" s="17" t="s">
        <v>140</v>
      </c>
      <c r="D2" s="10" t="s">
        <v>348</v>
      </c>
      <c r="E2" s="104" t="s">
        <v>349</v>
      </c>
      <c r="F2" s="104" t="s">
        <v>350</v>
      </c>
      <c r="G2" s="104" t="s">
        <v>32</v>
      </c>
      <c r="H2" s="104" t="s">
        <v>351</v>
      </c>
      <c r="I2" s="104" t="s">
        <v>136</v>
      </c>
      <c r="J2" s="104"/>
    </row>
    <row r="3" spans="1:10" ht="28.9">
      <c r="A3" s="104" t="s">
        <v>10</v>
      </c>
      <c r="B3" s="16" t="s">
        <v>23</v>
      </c>
      <c r="C3" s="17" t="s">
        <v>24</v>
      </c>
      <c r="D3" s="10" t="s">
        <v>145</v>
      </c>
      <c r="E3" s="104" t="s">
        <v>349</v>
      </c>
      <c r="F3" s="104" t="s">
        <v>350</v>
      </c>
      <c r="G3" s="104" t="s">
        <v>32</v>
      </c>
      <c r="H3" s="9" t="s">
        <v>352</v>
      </c>
      <c r="I3" s="104" t="s">
        <v>136</v>
      </c>
      <c r="J3" s="104"/>
    </row>
    <row r="4" spans="1:10" ht="28.9">
      <c r="A4" s="104" t="s">
        <v>10</v>
      </c>
      <c r="B4" s="16" t="s">
        <v>147</v>
      </c>
      <c r="C4" s="17" t="s">
        <v>148</v>
      </c>
      <c r="D4" s="10" t="s">
        <v>149</v>
      </c>
      <c r="E4" s="104" t="s">
        <v>349</v>
      </c>
      <c r="F4" s="104" t="s">
        <v>350</v>
      </c>
      <c r="G4" s="104" t="s">
        <v>32</v>
      </c>
      <c r="H4" s="104" t="s">
        <v>352</v>
      </c>
      <c r="I4" s="104" t="s">
        <v>136</v>
      </c>
      <c r="J4" s="104"/>
    </row>
  </sheetData>
  <autoFilter ref="A1:I4" xr:uid="{8E9D7E18-A9B3-4191-9DBB-B80908E44EFC}">
    <sortState xmlns:xlrd2="http://schemas.microsoft.com/office/spreadsheetml/2017/richdata2" ref="A2:I4">
      <sortCondition ref="E1:E4"/>
    </sortState>
  </autoFilter>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4C452-90A1-4043-B2A2-346C42C3A39C}">
  <dimension ref="A1:J7"/>
  <sheetViews>
    <sheetView workbookViewId="0">
      <selection activeCell="C7" sqref="C7"/>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30.75">
      <c r="A2" s="103" t="s">
        <v>353</v>
      </c>
      <c r="B2" s="13" t="s">
        <v>28</v>
      </c>
      <c r="C2" s="103" t="s">
        <v>29</v>
      </c>
      <c r="D2" s="2">
        <v>56</v>
      </c>
      <c r="E2" s="103" t="s">
        <v>354</v>
      </c>
      <c r="F2" s="103" t="s">
        <v>256</v>
      </c>
      <c r="G2" s="103" t="s">
        <v>134</v>
      </c>
      <c r="H2" s="103" t="s">
        <v>355</v>
      </c>
      <c r="I2" s="103" t="s">
        <v>136</v>
      </c>
      <c r="J2" s="104"/>
    </row>
    <row r="3" spans="1:10" ht="30.75">
      <c r="A3" s="103" t="s">
        <v>353</v>
      </c>
      <c r="B3" s="13" t="s">
        <v>35</v>
      </c>
      <c r="C3" s="103" t="s">
        <v>36</v>
      </c>
      <c r="D3" s="2">
        <v>56</v>
      </c>
      <c r="E3" s="103" t="s">
        <v>354</v>
      </c>
      <c r="F3" s="103" t="s">
        <v>256</v>
      </c>
      <c r="G3" s="103" t="s">
        <v>134</v>
      </c>
      <c r="H3" s="103" t="s">
        <v>356</v>
      </c>
      <c r="I3" s="103" t="s">
        <v>136</v>
      </c>
      <c r="J3" s="104"/>
    </row>
    <row r="4" spans="1:10" ht="30.75">
      <c r="A4" s="103" t="s">
        <v>353</v>
      </c>
      <c r="B4" s="13" t="s">
        <v>43</v>
      </c>
      <c r="C4" s="103" t="s">
        <v>44</v>
      </c>
      <c r="D4" s="4" t="s">
        <v>45</v>
      </c>
      <c r="E4" s="103" t="s">
        <v>354</v>
      </c>
      <c r="F4" s="103" t="s">
        <v>256</v>
      </c>
      <c r="G4" s="103" t="s">
        <v>134</v>
      </c>
      <c r="H4" s="103" t="s">
        <v>46</v>
      </c>
      <c r="I4" s="103" t="s">
        <v>136</v>
      </c>
      <c r="J4" s="104"/>
    </row>
    <row r="5" spans="1:10" ht="91.5">
      <c r="A5" s="103" t="s">
        <v>353</v>
      </c>
      <c r="B5" s="13" t="s">
        <v>47</v>
      </c>
      <c r="C5" s="103" t="s">
        <v>95</v>
      </c>
      <c r="D5" s="45" t="s">
        <v>49</v>
      </c>
      <c r="E5" s="79" t="s">
        <v>354</v>
      </c>
      <c r="F5" s="103" t="s">
        <v>256</v>
      </c>
      <c r="G5" s="103" t="s">
        <v>134</v>
      </c>
      <c r="H5" s="29" t="s">
        <v>50</v>
      </c>
      <c r="I5" s="103" t="s">
        <v>136</v>
      </c>
      <c r="J5" s="104"/>
    </row>
    <row r="6" spans="1:10" ht="83.45" customHeight="1">
      <c r="A6" s="103" t="s">
        <v>353</v>
      </c>
      <c r="B6" s="13" t="s">
        <v>162</v>
      </c>
      <c r="C6" s="103" t="s">
        <v>163</v>
      </c>
      <c r="D6" s="2" t="s">
        <v>357</v>
      </c>
      <c r="E6" s="103" t="s">
        <v>354</v>
      </c>
      <c r="F6" s="103" t="s">
        <v>256</v>
      </c>
      <c r="G6" s="103" t="s">
        <v>134</v>
      </c>
      <c r="H6" s="103" t="s">
        <v>358</v>
      </c>
      <c r="I6" s="103" t="s">
        <v>136</v>
      </c>
      <c r="J6" s="104"/>
    </row>
    <row r="7" spans="1:10" ht="106.5" customHeight="1">
      <c r="A7" s="103" t="s">
        <v>353</v>
      </c>
      <c r="B7" s="13" t="s">
        <v>51</v>
      </c>
      <c r="C7" s="103" t="s">
        <v>52</v>
      </c>
      <c r="D7" s="3" t="s">
        <v>359</v>
      </c>
      <c r="E7" s="103" t="s">
        <v>354</v>
      </c>
      <c r="F7" s="103" t="s">
        <v>256</v>
      </c>
      <c r="G7" s="103" t="s">
        <v>134</v>
      </c>
      <c r="H7" s="103" t="s">
        <v>360</v>
      </c>
      <c r="I7" s="103" t="s">
        <v>136</v>
      </c>
      <c r="J7" s="104"/>
    </row>
  </sheetData>
  <autoFilter ref="A1:I7" xr:uid="{8E9D7E18-A9B3-4191-9DBB-B80908E44EFC}">
    <sortState xmlns:xlrd2="http://schemas.microsoft.com/office/spreadsheetml/2017/richdata2" ref="A2:I7">
      <sortCondition ref="E1:E7"/>
    </sortState>
  </autoFilter>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A3F8E-CD36-4118-BDE7-DFB932A7BE8E}">
  <dimension ref="A1:J6"/>
  <sheetViews>
    <sheetView workbookViewId="0">
      <selection activeCell="D4" sqref="D4"/>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28.9">
      <c r="A2" s="104" t="s">
        <v>96</v>
      </c>
      <c r="B2" s="16" t="s">
        <v>28</v>
      </c>
      <c r="C2" s="103" t="s">
        <v>29</v>
      </c>
      <c r="D2" s="2">
        <v>65</v>
      </c>
      <c r="E2" s="103" t="s">
        <v>361</v>
      </c>
      <c r="F2" s="103" t="s">
        <v>362</v>
      </c>
      <c r="G2" s="103" t="s">
        <v>154</v>
      </c>
      <c r="H2" s="103" t="s">
        <v>363</v>
      </c>
      <c r="I2" s="104" t="s">
        <v>364</v>
      </c>
      <c r="J2" s="104"/>
    </row>
    <row r="3" spans="1:10" ht="28.9">
      <c r="A3" s="104" t="s">
        <v>96</v>
      </c>
      <c r="B3" s="16" t="s">
        <v>35</v>
      </c>
      <c r="C3" s="103" t="s">
        <v>36</v>
      </c>
      <c r="D3" s="2">
        <v>65</v>
      </c>
      <c r="E3" s="103" t="s">
        <v>361</v>
      </c>
      <c r="F3" s="103" t="s">
        <v>362</v>
      </c>
      <c r="G3" s="103" t="s">
        <v>154</v>
      </c>
      <c r="H3" s="103" t="s">
        <v>365</v>
      </c>
      <c r="I3" s="104" t="s">
        <v>364</v>
      </c>
      <c r="J3" s="104"/>
    </row>
    <row r="4" spans="1:10" ht="28.9">
      <c r="A4" s="104" t="s">
        <v>96</v>
      </c>
      <c r="B4" s="16" t="s">
        <v>43</v>
      </c>
      <c r="C4" s="103" t="s">
        <v>44</v>
      </c>
      <c r="D4" s="3" t="s">
        <v>45</v>
      </c>
      <c r="E4" s="103" t="s">
        <v>361</v>
      </c>
      <c r="F4" s="103" t="s">
        <v>362</v>
      </c>
      <c r="G4" s="103" t="s">
        <v>154</v>
      </c>
      <c r="H4" s="103" t="s">
        <v>46</v>
      </c>
      <c r="I4" s="104" t="s">
        <v>364</v>
      </c>
      <c r="J4" s="104"/>
    </row>
    <row r="5" spans="1:10" ht="75">
      <c r="A5" s="104" t="s">
        <v>96</v>
      </c>
      <c r="B5" s="16" t="s">
        <v>47</v>
      </c>
      <c r="C5" s="103" t="s">
        <v>48</v>
      </c>
      <c r="D5" s="45" t="s">
        <v>49</v>
      </c>
      <c r="E5" s="103" t="s">
        <v>361</v>
      </c>
      <c r="F5" s="103" t="s">
        <v>362</v>
      </c>
      <c r="G5" s="103" t="s">
        <v>154</v>
      </c>
      <c r="H5" s="29" t="s">
        <v>50</v>
      </c>
      <c r="I5" s="104" t="s">
        <v>364</v>
      </c>
      <c r="J5" s="104"/>
    </row>
    <row r="6" spans="1:10" ht="105.75" customHeight="1">
      <c r="A6" s="104" t="s">
        <v>96</v>
      </c>
      <c r="B6" s="16" t="s">
        <v>51</v>
      </c>
      <c r="C6" s="103" t="s">
        <v>52</v>
      </c>
      <c r="D6" s="3" t="s">
        <v>359</v>
      </c>
      <c r="E6" s="103" t="s">
        <v>361</v>
      </c>
      <c r="F6" s="103" t="s">
        <v>362</v>
      </c>
      <c r="G6" s="103" t="s">
        <v>154</v>
      </c>
      <c r="H6" s="103" t="s">
        <v>360</v>
      </c>
      <c r="I6" s="104" t="s">
        <v>364</v>
      </c>
      <c r="J6" s="104"/>
    </row>
  </sheetData>
  <autoFilter ref="A1:I6" xr:uid="{8E9D7E18-A9B3-4191-9DBB-B80908E44EFC}">
    <sortState xmlns:xlrd2="http://schemas.microsoft.com/office/spreadsheetml/2017/richdata2" ref="A2:I6">
      <sortCondition ref="E1:E6"/>
    </sortState>
  </autoFilter>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75466-5252-4738-8921-44FB15F20040}">
  <dimension ref="A1:J6"/>
  <sheetViews>
    <sheetView workbookViewId="0">
      <selection activeCell="E2" sqref="E2"/>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45.75">
      <c r="A2" s="104" t="s">
        <v>328</v>
      </c>
      <c r="B2" s="16" t="s">
        <v>28</v>
      </c>
      <c r="C2" s="103" t="s">
        <v>29</v>
      </c>
      <c r="D2" s="45">
        <v>62.2</v>
      </c>
      <c r="E2" s="104" t="s">
        <v>366</v>
      </c>
      <c r="F2" s="103" t="s">
        <v>31</v>
      </c>
      <c r="G2" s="104" t="s">
        <v>32</v>
      </c>
      <c r="H2" s="109" t="s">
        <v>367</v>
      </c>
      <c r="I2" s="104" t="s">
        <v>136</v>
      </c>
      <c r="J2" s="104"/>
    </row>
    <row r="3" spans="1:10" ht="43.15">
      <c r="A3" s="104" t="s">
        <v>328</v>
      </c>
      <c r="B3" s="16" t="s">
        <v>35</v>
      </c>
      <c r="C3" s="103" t="s">
        <v>267</v>
      </c>
      <c r="D3" s="45" t="s">
        <v>368</v>
      </c>
      <c r="E3" s="104" t="s">
        <v>366</v>
      </c>
      <c r="F3" s="103" t="s">
        <v>31</v>
      </c>
      <c r="G3" s="104" t="s">
        <v>32</v>
      </c>
      <c r="H3" s="104" t="s">
        <v>369</v>
      </c>
      <c r="I3" s="104" t="s">
        <v>136</v>
      </c>
      <c r="J3" s="104"/>
    </row>
    <row r="4" spans="1:10" ht="43.15">
      <c r="A4" s="104" t="s">
        <v>328</v>
      </c>
      <c r="B4" s="16" t="s">
        <v>43</v>
      </c>
      <c r="C4" s="103" t="s">
        <v>272</v>
      </c>
      <c r="D4" s="45" t="s">
        <v>45</v>
      </c>
      <c r="E4" s="104" t="s">
        <v>366</v>
      </c>
      <c r="F4" s="104" t="s">
        <v>31</v>
      </c>
      <c r="G4" s="104" t="s">
        <v>32</v>
      </c>
      <c r="H4" s="28" t="s">
        <v>46</v>
      </c>
      <c r="I4" s="104" t="s">
        <v>136</v>
      </c>
      <c r="J4" s="104"/>
    </row>
    <row r="5" spans="1:10" ht="75">
      <c r="A5" s="104" t="s">
        <v>328</v>
      </c>
      <c r="B5" s="16" t="s">
        <v>47</v>
      </c>
      <c r="C5" s="103" t="s">
        <v>276</v>
      </c>
      <c r="D5" s="45" t="s">
        <v>49</v>
      </c>
      <c r="E5" s="104" t="s">
        <v>366</v>
      </c>
      <c r="F5" s="104" t="s">
        <v>31</v>
      </c>
      <c r="G5" s="104" t="s">
        <v>32</v>
      </c>
      <c r="H5" s="29" t="s">
        <v>50</v>
      </c>
      <c r="I5" s="104" t="s">
        <v>136</v>
      </c>
      <c r="J5" s="104"/>
    </row>
    <row r="6" spans="1:10" ht="120.75" customHeight="1">
      <c r="A6" s="104" t="s">
        <v>328</v>
      </c>
      <c r="B6" s="16" t="s">
        <v>51</v>
      </c>
      <c r="C6" s="103" t="s">
        <v>52</v>
      </c>
      <c r="D6" s="47" t="s">
        <v>53</v>
      </c>
      <c r="E6" s="103" t="s">
        <v>366</v>
      </c>
      <c r="F6" s="104" t="s">
        <v>31</v>
      </c>
      <c r="G6" s="103" t="s">
        <v>32</v>
      </c>
      <c r="H6" s="103" t="s">
        <v>54</v>
      </c>
      <c r="I6" s="104" t="s">
        <v>136</v>
      </c>
      <c r="J6" s="104"/>
    </row>
  </sheetData>
  <autoFilter ref="A1:I6" xr:uid="{8E9D7E18-A9B3-4191-9DBB-B80908E44EFC}">
    <sortState xmlns:xlrd2="http://schemas.microsoft.com/office/spreadsheetml/2017/richdata2" ref="A2:I6">
      <sortCondition ref="E1:E6"/>
    </sortState>
  </autoFilter>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8F17B8-A922-4D1F-AD8D-B2D53288EB06}">
  <dimension ref="A1:J32"/>
  <sheetViews>
    <sheetView workbookViewId="0">
      <selection activeCell="A8" sqref="A8:H16"/>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c r="A2" s="104" t="s">
        <v>96</v>
      </c>
      <c r="B2" s="16" t="s">
        <v>28</v>
      </c>
      <c r="C2" s="103" t="s">
        <v>29</v>
      </c>
      <c r="D2" s="2">
        <v>37</v>
      </c>
      <c r="E2" s="103" t="s">
        <v>370</v>
      </c>
      <c r="F2" s="103" t="s">
        <v>15</v>
      </c>
      <c r="G2" s="103" t="s">
        <v>154</v>
      </c>
      <c r="H2" s="103" t="s">
        <v>371</v>
      </c>
      <c r="I2" s="104" t="s">
        <v>372</v>
      </c>
      <c r="J2" s="104"/>
    </row>
    <row r="3" spans="1:10" ht="28.9">
      <c r="A3" s="104" t="s">
        <v>96</v>
      </c>
      <c r="B3" s="16" t="s">
        <v>35</v>
      </c>
      <c r="C3" s="103" t="s">
        <v>36</v>
      </c>
      <c r="D3" s="47">
        <v>30</v>
      </c>
      <c r="E3" s="103" t="s">
        <v>370</v>
      </c>
      <c r="F3" s="103" t="s">
        <v>15</v>
      </c>
      <c r="G3" s="103" t="s">
        <v>154</v>
      </c>
      <c r="H3" s="103" t="s">
        <v>373</v>
      </c>
      <c r="I3" s="104" t="s">
        <v>372</v>
      </c>
      <c r="J3" s="104"/>
    </row>
    <row r="4" spans="1:10" ht="28.9">
      <c r="A4" s="104" t="s">
        <v>96</v>
      </c>
      <c r="B4" s="16" t="s">
        <v>43</v>
      </c>
      <c r="C4" s="103" t="s">
        <v>44</v>
      </c>
      <c r="D4" s="3" t="s">
        <v>158</v>
      </c>
      <c r="E4" s="103" t="s">
        <v>370</v>
      </c>
      <c r="F4" s="103" t="s">
        <v>15</v>
      </c>
      <c r="G4" s="103" t="s">
        <v>154</v>
      </c>
      <c r="H4" s="103" t="s">
        <v>237</v>
      </c>
      <c r="I4" s="104" t="s">
        <v>372</v>
      </c>
      <c r="J4" s="104"/>
    </row>
    <row r="5" spans="1:10" ht="75">
      <c r="A5" s="104" t="s">
        <v>96</v>
      </c>
      <c r="B5" s="16" t="s">
        <v>47</v>
      </c>
      <c r="C5" s="103" t="s">
        <v>95</v>
      </c>
      <c r="D5" s="45" t="s">
        <v>49</v>
      </c>
      <c r="E5" s="103" t="s">
        <v>370</v>
      </c>
      <c r="F5" s="103" t="s">
        <v>15</v>
      </c>
      <c r="G5" s="103" t="s">
        <v>154</v>
      </c>
      <c r="H5" s="29" t="s">
        <v>50</v>
      </c>
      <c r="I5" s="104" t="s">
        <v>372</v>
      </c>
      <c r="J5" s="104"/>
    </row>
    <row r="6" spans="1:10" ht="57.6">
      <c r="A6" s="104" t="s">
        <v>96</v>
      </c>
      <c r="B6" s="16" t="s">
        <v>51</v>
      </c>
      <c r="C6" s="103" t="s">
        <v>52</v>
      </c>
      <c r="D6" s="3" t="s">
        <v>239</v>
      </c>
      <c r="E6" s="103" t="s">
        <v>370</v>
      </c>
      <c r="F6" s="103" t="s">
        <v>15</v>
      </c>
      <c r="G6" s="103" t="s">
        <v>154</v>
      </c>
      <c r="H6" s="23" t="s">
        <v>240</v>
      </c>
      <c r="I6" s="104" t="s">
        <v>372</v>
      </c>
      <c r="J6" s="104"/>
    </row>
    <row r="8" spans="1:10">
      <c r="A8" t="s">
        <v>374</v>
      </c>
      <c r="B8"/>
      <c r="C8"/>
      <c r="D8" t="s">
        <v>375</v>
      </c>
      <c r="E8"/>
      <c r="F8"/>
      <c r="G8"/>
      <c r="H8" t="s">
        <v>181</v>
      </c>
      <c r="I8" s="103"/>
      <c r="J8" s="104"/>
    </row>
    <row r="9" spans="1:10">
      <c r="A9">
        <v>35.04</v>
      </c>
      <c r="B9"/>
      <c r="C9"/>
      <c r="D9">
        <v>106</v>
      </c>
      <c r="E9"/>
      <c r="F9"/>
      <c r="G9"/>
      <c r="H9" t="e">
        <f>$A9*$D9/$E$44</f>
        <v>#DIV/0!</v>
      </c>
      <c r="I9" s="103"/>
      <c r="J9" s="104"/>
    </row>
    <row r="10" spans="1:10">
      <c r="A10">
        <v>37.549999999999997</v>
      </c>
      <c r="B10"/>
      <c r="C10"/>
      <c r="D10">
        <v>218</v>
      </c>
      <c r="E10"/>
      <c r="F10"/>
      <c r="G10"/>
      <c r="H10" t="e">
        <f>$A10*$D10/$E$44</f>
        <v>#DIV/0!</v>
      </c>
      <c r="I10" s="103"/>
      <c r="J10" s="104"/>
    </row>
    <row r="11" spans="1:10">
      <c r="A11"/>
      <c r="B11"/>
      <c r="C11"/>
      <c r="D11">
        <f>SUM(D9:D10)</f>
        <v>324</v>
      </c>
      <c r="E11"/>
      <c r="F11" t="s">
        <v>376</v>
      </c>
      <c r="G11"/>
      <c r="H11" t="e">
        <f>SUM(H9:H10)</f>
        <v>#DIV/0!</v>
      </c>
      <c r="I11" s="103"/>
      <c r="J11" s="104"/>
    </row>
    <row r="12" spans="1:10">
      <c r="A12"/>
      <c r="B12"/>
      <c r="C12"/>
      <c r="D12"/>
      <c r="E12"/>
      <c r="F12"/>
      <c r="G12"/>
      <c r="H12"/>
      <c r="I12" s="103"/>
      <c r="J12" s="104"/>
    </row>
    <row r="13" spans="1:10">
      <c r="A13" t="s">
        <v>377</v>
      </c>
      <c r="B13"/>
      <c r="C13"/>
      <c r="D13" t="s">
        <v>375</v>
      </c>
      <c r="E13"/>
      <c r="F13"/>
      <c r="G13"/>
      <c r="H13" t="s">
        <v>181</v>
      </c>
      <c r="I13" s="103"/>
      <c r="J13" s="104"/>
    </row>
    <row r="14" spans="1:10">
      <c r="A14">
        <v>28.43</v>
      </c>
      <c r="B14"/>
      <c r="C14"/>
      <c r="D14">
        <v>106</v>
      </c>
      <c r="E14"/>
      <c r="F14"/>
      <c r="G14"/>
      <c r="H14" t="e">
        <f>$A14*$D14/$E$44</f>
        <v>#DIV/0!</v>
      </c>
      <c r="I14" s="103"/>
      <c r="J14" s="104"/>
    </row>
    <row r="15" spans="1:10">
      <c r="A15">
        <v>31.35</v>
      </c>
      <c r="B15"/>
      <c r="C15"/>
      <c r="D15">
        <v>218</v>
      </c>
      <c r="E15"/>
      <c r="F15"/>
      <c r="G15"/>
      <c r="H15" t="e">
        <f>$A15*$D15/$E$44</f>
        <v>#DIV/0!</v>
      </c>
      <c r="I15" s="103"/>
      <c r="J15" s="104"/>
    </row>
    <row r="16" spans="1:10">
      <c r="A16"/>
      <c r="B16"/>
      <c r="C16"/>
      <c r="D16">
        <f>SUM(D14:D15)</f>
        <v>324</v>
      </c>
      <c r="E16"/>
      <c r="F16" t="s">
        <v>376</v>
      </c>
      <c r="G16"/>
      <c r="H16" t="e">
        <f>SUM(H14:H15)</f>
        <v>#DIV/0!</v>
      </c>
      <c r="I16" s="103"/>
      <c r="J16" s="104"/>
    </row>
    <row r="17" spans="1:9">
      <c r="A17"/>
      <c r="B17"/>
      <c r="C17"/>
      <c r="D17"/>
      <c r="E17"/>
      <c r="F17"/>
      <c r="G17"/>
      <c r="H17"/>
      <c r="I17"/>
    </row>
    <row r="18" spans="1:9">
      <c r="A18" s="30" t="s">
        <v>241</v>
      </c>
      <c r="B18"/>
      <c r="C18"/>
      <c r="D18"/>
      <c r="E18"/>
      <c r="F18"/>
      <c r="G18"/>
      <c r="H18"/>
      <c r="I18"/>
    </row>
    <row r="19" spans="1:9">
      <c r="A19" t="s">
        <v>169</v>
      </c>
      <c r="B19" t="s">
        <v>242</v>
      </c>
      <c r="C19" t="s">
        <v>243</v>
      </c>
      <c r="D19"/>
      <c r="E19"/>
      <c r="F19"/>
      <c r="G19"/>
      <c r="H19"/>
      <c r="I19"/>
    </row>
    <row r="20" spans="1:9">
      <c r="A20" t="s">
        <v>244</v>
      </c>
      <c r="B20">
        <v>3.5</v>
      </c>
      <c r="C20">
        <v>5.6</v>
      </c>
      <c r="D20"/>
      <c r="E20"/>
      <c r="F20"/>
      <c r="G20"/>
      <c r="H20"/>
      <c r="I20"/>
    </row>
    <row r="21" spans="1:9">
      <c r="A21">
        <v>0.01</v>
      </c>
      <c r="B21">
        <v>14.1</v>
      </c>
      <c r="C21">
        <v>23.5</v>
      </c>
      <c r="D21">
        <f>AVERAGE(B21:C21)</f>
        <v>18.8</v>
      </c>
      <c r="E21"/>
      <c r="F21"/>
      <c r="G21"/>
      <c r="H21"/>
      <c r="I21"/>
    </row>
    <row r="22" spans="1:9">
      <c r="A22">
        <v>2.5000000000000001E-2</v>
      </c>
      <c r="B22">
        <v>19.8</v>
      </c>
      <c r="C22">
        <v>28.4</v>
      </c>
      <c r="D22">
        <f t="shared" ref="D22:D30" si="0">AVERAGE(B22:C22)</f>
        <v>24.1</v>
      </c>
      <c r="E22"/>
      <c r="F22"/>
      <c r="G22"/>
      <c r="H22"/>
      <c r="I22"/>
    </row>
    <row r="23" spans="1:9">
      <c r="A23">
        <v>0.05</v>
      </c>
      <c r="B23">
        <v>23.9</v>
      </c>
      <c r="C23">
        <v>33.299999999999997</v>
      </c>
      <c r="D23">
        <f t="shared" si="0"/>
        <v>28.599999999999998</v>
      </c>
      <c r="E23"/>
      <c r="F23"/>
      <c r="G23"/>
      <c r="H23"/>
      <c r="I23"/>
    </row>
    <row r="24" spans="1:9">
      <c r="A24">
        <v>0.1</v>
      </c>
      <c r="B24">
        <v>29.3</v>
      </c>
      <c r="C24">
        <v>39.9</v>
      </c>
      <c r="D24">
        <f t="shared" si="0"/>
        <v>34.6</v>
      </c>
      <c r="E24"/>
      <c r="F24"/>
      <c r="G24"/>
      <c r="H24"/>
      <c r="I24"/>
    </row>
    <row r="25" spans="1:9">
      <c r="A25">
        <v>0.25</v>
      </c>
      <c r="B25">
        <v>40.200000000000003</v>
      </c>
      <c r="C25">
        <v>51.6</v>
      </c>
      <c r="D25">
        <f t="shared" si="0"/>
        <v>45.900000000000006</v>
      </c>
      <c r="E25"/>
      <c r="F25"/>
      <c r="G25"/>
      <c r="H25"/>
      <c r="I25"/>
    </row>
    <row r="26" spans="1:9">
      <c r="A26">
        <v>0.5</v>
      </c>
      <c r="B26">
        <v>54.3</v>
      </c>
      <c r="C26">
        <v>67</v>
      </c>
      <c r="D26">
        <f t="shared" si="0"/>
        <v>60.65</v>
      </c>
      <c r="E26"/>
      <c r="F26"/>
      <c r="G26"/>
      <c r="H26"/>
      <c r="I26"/>
    </row>
    <row r="27" spans="1:9">
      <c r="A27">
        <v>0.75</v>
      </c>
      <c r="B27">
        <v>71.3</v>
      </c>
      <c r="C27">
        <v>84.7</v>
      </c>
      <c r="D27">
        <f t="shared" si="0"/>
        <v>78</v>
      </c>
      <c r="E27"/>
      <c r="F27"/>
      <c r="G27"/>
      <c r="H27"/>
      <c r="I27"/>
    </row>
    <row r="28" spans="1:9">
      <c r="A28">
        <v>0.9</v>
      </c>
      <c r="B28">
        <v>91.5</v>
      </c>
      <c r="C28">
        <v>104.6</v>
      </c>
      <c r="D28">
        <f t="shared" si="0"/>
        <v>98.05</v>
      </c>
      <c r="E28"/>
      <c r="F28"/>
      <c r="G28"/>
      <c r="H28"/>
      <c r="I28"/>
    </row>
    <row r="29" spans="1:9">
      <c r="A29">
        <v>0.95</v>
      </c>
      <c r="B29">
        <v>104.7</v>
      </c>
      <c r="C29">
        <v>120</v>
      </c>
      <c r="D29">
        <f t="shared" si="0"/>
        <v>112.35</v>
      </c>
      <c r="E29"/>
      <c r="F29"/>
      <c r="G29"/>
      <c r="H29"/>
      <c r="I29"/>
    </row>
    <row r="30" spans="1:9">
      <c r="A30">
        <v>0.99</v>
      </c>
      <c r="B30">
        <v>133.6</v>
      </c>
      <c r="C30">
        <v>154</v>
      </c>
      <c r="D30">
        <f t="shared" si="0"/>
        <v>143.80000000000001</v>
      </c>
      <c r="E30"/>
      <c r="F30"/>
      <c r="G30"/>
      <c r="H30"/>
      <c r="I30"/>
    </row>
    <row r="31" spans="1:9">
      <c r="A31" t="s">
        <v>245</v>
      </c>
      <c r="B31">
        <v>221.7</v>
      </c>
      <c r="C31">
        <v>314.5</v>
      </c>
      <c r="D31"/>
      <c r="E31"/>
      <c r="F31"/>
      <c r="G31"/>
      <c r="H31"/>
      <c r="I31"/>
    </row>
    <row r="32" spans="1:9">
      <c r="A32" t="s">
        <v>246</v>
      </c>
      <c r="B32">
        <v>58</v>
      </c>
      <c r="C32">
        <v>70.400000000000006</v>
      </c>
      <c r="D32">
        <f>AVERAGE(D21:D30)</f>
        <v>64.484999999999985</v>
      </c>
      <c r="E32"/>
      <c r="F32"/>
      <c r="G32"/>
      <c r="H32"/>
      <c r="I32"/>
    </row>
  </sheetData>
  <autoFilter ref="A1:I6" xr:uid="{8E9D7E18-A9B3-4191-9DBB-B80908E44EFC}">
    <sortState xmlns:xlrd2="http://schemas.microsoft.com/office/spreadsheetml/2017/richdata2" ref="A2:I6">
      <sortCondition ref="E1:E6"/>
    </sortState>
  </autoFilter>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78F99-2E74-44CD-964E-BF6680E93F5E}">
  <dimension ref="A1:J4"/>
  <sheetViews>
    <sheetView workbookViewId="0">
      <selection activeCell="H2" sqref="H2"/>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30.75">
      <c r="A2" s="104" t="s">
        <v>10</v>
      </c>
      <c r="B2" s="16" t="s">
        <v>11</v>
      </c>
      <c r="C2" s="20" t="s">
        <v>140</v>
      </c>
      <c r="D2" s="2" t="s">
        <v>378</v>
      </c>
      <c r="E2" s="103" t="s">
        <v>379</v>
      </c>
      <c r="F2" s="104" t="s">
        <v>350</v>
      </c>
      <c r="G2" s="103" t="s">
        <v>32</v>
      </c>
      <c r="H2" s="104" t="s">
        <v>380</v>
      </c>
      <c r="I2" s="104" t="s">
        <v>136</v>
      </c>
      <c r="J2" s="104"/>
    </row>
    <row r="3" spans="1:10" ht="28.9">
      <c r="A3" s="104" t="s">
        <v>10</v>
      </c>
      <c r="B3" s="16" t="s">
        <v>23</v>
      </c>
      <c r="C3" s="20" t="s">
        <v>24</v>
      </c>
      <c r="D3" s="2" t="s">
        <v>145</v>
      </c>
      <c r="E3" s="103" t="s">
        <v>379</v>
      </c>
      <c r="F3" s="104" t="s">
        <v>350</v>
      </c>
      <c r="G3" s="103" t="s">
        <v>32</v>
      </c>
      <c r="H3" s="9" t="s">
        <v>352</v>
      </c>
      <c r="I3" s="104" t="s">
        <v>136</v>
      </c>
      <c r="J3" s="104"/>
    </row>
    <row r="4" spans="1:10" ht="42" customHeight="1">
      <c r="A4" s="104" t="s">
        <v>10</v>
      </c>
      <c r="B4" s="16" t="s">
        <v>147</v>
      </c>
      <c r="C4" s="20" t="s">
        <v>148</v>
      </c>
      <c r="D4" s="2" t="s">
        <v>149</v>
      </c>
      <c r="E4" s="103" t="s">
        <v>379</v>
      </c>
      <c r="F4" s="104" t="s">
        <v>350</v>
      </c>
      <c r="G4" s="103" t="s">
        <v>32</v>
      </c>
      <c r="H4" s="104" t="s">
        <v>352</v>
      </c>
      <c r="I4" s="104" t="s">
        <v>136</v>
      </c>
      <c r="J4" s="104"/>
    </row>
  </sheetData>
  <autoFilter ref="A1:I4" xr:uid="{8E9D7E18-A9B3-4191-9DBB-B80908E44EFC}">
    <sortState xmlns:xlrd2="http://schemas.microsoft.com/office/spreadsheetml/2017/richdata2" ref="A2:I4">
      <sortCondition ref="E1:E4"/>
    </sortState>
  </autoFilter>
  <pageMargins left="0.7" right="0.7" top="0.75" bottom="0.75" header="0.3" footer="0.3"/>
  <pageSetup orientation="portrait" r:id="rId1"/>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54B54-CFF1-4A1D-A69F-7532F7C933B1}">
  <dimension ref="A1:R25"/>
  <sheetViews>
    <sheetView topLeftCell="A6" workbookViewId="0">
      <selection activeCell="D5" sqref="D5"/>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8" ht="28.9">
      <c r="A1" s="5" t="s">
        <v>0</v>
      </c>
      <c r="B1" s="12" t="s">
        <v>1</v>
      </c>
      <c r="C1" s="6" t="s">
        <v>2</v>
      </c>
      <c r="D1" s="6" t="s">
        <v>3</v>
      </c>
      <c r="E1" s="6" t="s">
        <v>4</v>
      </c>
      <c r="F1" s="6" t="s">
        <v>5</v>
      </c>
      <c r="G1" s="6" t="s">
        <v>6</v>
      </c>
      <c r="H1" s="6" t="s">
        <v>7</v>
      </c>
      <c r="I1" s="7" t="s">
        <v>8</v>
      </c>
      <c r="J1" s="7" t="s">
        <v>9</v>
      </c>
      <c r="K1" s="104"/>
      <c r="L1" s="104"/>
      <c r="M1" s="104"/>
      <c r="N1" s="104"/>
      <c r="O1" s="104"/>
      <c r="P1" s="104"/>
      <c r="Q1" s="104"/>
      <c r="R1" s="104"/>
    </row>
    <row r="2" spans="1:18" ht="28.9">
      <c r="A2" s="104" t="s">
        <v>286</v>
      </c>
      <c r="B2" s="13" t="s">
        <v>28</v>
      </c>
      <c r="C2" s="103" t="s">
        <v>29</v>
      </c>
      <c r="D2" s="2">
        <v>66</v>
      </c>
      <c r="E2" s="103" t="s">
        <v>381</v>
      </c>
      <c r="F2" s="103" t="s">
        <v>382</v>
      </c>
      <c r="G2" s="103" t="s">
        <v>32</v>
      </c>
      <c r="H2" s="103" t="s">
        <v>383</v>
      </c>
      <c r="I2" s="104" t="s">
        <v>384</v>
      </c>
      <c r="J2" s="104"/>
      <c r="K2" s="104"/>
      <c r="L2" s="104"/>
      <c r="M2" s="104"/>
      <c r="N2" s="104"/>
      <c r="O2" s="104"/>
      <c r="P2" s="104"/>
      <c r="Q2" s="104"/>
      <c r="R2" s="104"/>
    </row>
    <row r="3" spans="1:18" ht="28.9">
      <c r="A3" s="104" t="s">
        <v>286</v>
      </c>
      <c r="B3" s="13" t="s">
        <v>35</v>
      </c>
      <c r="C3" s="103" t="s">
        <v>36</v>
      </c>
      <c r="D3" s="2">
        <v>66</v>
      </c>
      <c r="E3" s="103" t="s">
        <v>381</v>
      </c>
      <c r="F3" s="103" t="s">
        <v>382</v>
      </c>
      <c r="G3" s="103" t="s">
        <v>32</v>
      </c>
      <c r="H3" s="103" t="s">
        <v>385</v>
      </c>
      <c r="I3" s="104" t="s">
        <v>384</v>
      </c>
      <c r="J3" s="104"/>
      <c r="K3" s="104"/>
      <c r="L3" s="104"/>
      <c r="M3" s="104"/>
      <c r="N3" s="104"/>
      <c r="O3" s="104"/>
      <c r="P3" s="104"/>
      <c r="Q3" s="104"/>
      <c r="R3" s="104"/>
    </row>
    <row r="4" spans="1:18" ht="43.15">
      <c r="A4" s="104" t="s">
        <v>286</v>
      </c>
      <c r="B4" s="13" t="s">
        <v>23</v>
      </c>
      <c r="C4" s="20" t="s">
        <v>24</v>
      </c>
      <c r="D4" s="2" t="s">
        <v>41</v>
      </c>
      <c r="E4" s="103" t="s">
        <v>381</v>
      </c>
      <c r="F4" s="103" t="s">
        <v>382</v>
      </c>
      <c r="G4" s="103" t="s">
        <v>32</v>
      </c>
      <c r="H4" s="103" t="s">
        <v>386</v>
      </c>
      <c r="I4" s="104" t="s">
        <v>384</v>
      </c>
      <c r="J4" s="104"/>
      <c r="K4" s="104"/>
      <c r="L4" s="104"/>
      <c r="M4" s="104"/>
      <c r="N4" s="104"/>
      <c r="O4" s="104"/>
      <c r="P4" s="104"/>
      <c r="Q4" s="104"/>
      <c r="R4" s="104"/>
    </row>
    <row r="5" spans="1:18" ht="28.9">
      <c r="A5" s="104" t="s">
        <v>286</v>
      </c>
      <c r="B5" s="13" t="s">
        <v>43</v>
      </c>
      <c r="C5" s="103" t="s">
        <v>44</v>
      </c>
      <c r="D5" s="2" t="s">
        <v>45</v>
      </c>
      <c r="E5" s="103" t="s">
        <v>381</v>
      </c>
      <c r="F5" s="103" t="s">
        <v>382</v>
      </c>
      <c r="G5" s="103" t="s">
        <v>32</v>
      </c>
      <c r="H5" s="103" t="s">
        <v>387</v>
      </c>
      <c r="I5" s="104" t="s">
        <v>384</v>
      </c>
      <c r="J5" s="104"/>
      <c r="K5" s="104"/>
      <c r="L5" s="104"/>
      <c r="M5" s="104"/>
      <c r="N5" s="104"/>
      <c r="O5" s="104"/>
      <c r="P5" s="104"/>
      <c r="Q5" s="104"/>
      <c r="R5" s="104"/>
    </row>
    <row r="6" spans="1:18" ht="86.45" customHeight="1">
      <c r="A6" s="104" t="s">
        <v>286</v>
      </c>
      <c r="B6" s="13" t="s">
        <v>47</v>
      </c>
      <c r="C6" s="103" t="s">
        <v>95</v>
      </c>
      <c r="D6" s="45" t="s">
        <v>49</v>
      </c>
      <c r="E6" s="103" t="s">
        <v>381</v>
      </c>
      <c r="F6" s="103" t="s">
        <v>382</v>
      </c>
      <c r="G6" s="103" t="s">
        <v>32</v>
      </c>
      <c r="H6" s="29" t="s">
        <v>50</v>
      </c>
      <c r="I6" s="104" t="s">
        <v>384</v>
      </c>
      <c r="J6" s="104"/>
      <c r="K6" s="104"/>
      <c r="L6" s="104"/>
      <c r="M6" s="104"/>
      <c r="N6" s="104"/>
      <c r="O6" s="104"/>
      <c r="P6" s="104"/>
      <c r="Q6" s="104"/>
      <c r="R6" s="104"/>
    </row>
    <row r="7" spans="1:18" ht="57.6">
      <c r="A7" s="104" t="s">
        <v>286</v>
      </c>
      <c r="B7" s="13" t="s">
        <v>162</v>
      </c>
      <c r="C7" s="103" t="s">
        <v>163</v>
      </c>
      <c r="D7" s="2" t="s">
        <v>388</v>
      </c>
      <c r="E7" s="103" t="s">
        <v>381</v>
      </c>
      <c r="F7" s="103" t="s">
        <v>382</v>
      </c>
      <c r="G7" s="103" t="s">
        <v>32</v>
      </c>
      <c r="H7" s="103" t="s">
        <v>389</v>
      </c>
      <c r="I7" s="104" t="s">
        <v>384</v>
      </c>
      <c r="J7" s="104"/>
      <c r="K7" s="104"/>
      <c r="L7" s="104"/>
      <c r="M7" s="104"/>
      <c r="N7" s="104"/>
      <c r="O7" s="104"/>
      <c r="P7" s="104"/>
      <c r="Q7" s="104"/>
      <c r="R7" s="104"/>
    </row>
    <row r="8" spans="1:18" ht="107.25" customHeight="1">
      <c r="A8" s="104" t="s">
        <v>286</v>
      </c>
      <c r="B8" s="13" t="s">
        <v>51</v>
      </c>
      <c r="C8" s="103" t="s">
        <v>52</v>
      </c>
      <c r="D8" s="3" t="s">
        <v>53</v>
      </c>
      <c r="E8" s="103" t="s">
        <v>381</v>
      </c>
      <c r="F8" s="103" t="s">
        <v>382</v>
      </c>
      <c r="G8" s="103" t="s">
        <v>32</v>
      </c>
      <c r="H8" s="103" t="s">
        <v>54</v>
      </c>
      <c r="I8" s="104" t="s">
        <v>384</v>
      </c>
      <c r="J8" s="104"/>
      <c r="K8" s="104"/>
      <c r="L8" s="104"/>
      <c r="M8" s="104"/>
      <c r="N8" s="104"/>
      <c r="O8" s="104"/>
      <c r="P8" s="104"/>
      <c r="Q8" s="104"/>
      <c r="R8" s="104"/>
    </row>
    <row r="10" spans="1:18" ht="28.9">
      <c r="A10" s="30" t="s">
        <v>301</v>
      </c>
      <c r="B10" s="30" t="s">
        <v>302</v>
      </c>
      <c r="C10" t="s">
        <v>131</v>
      </c>
      <c r="D10"/>
      <c r="E10"/>
      <c r="F10"/>
      <c r="G10"/>
      <c r="H10" s="10" t="s">
        <v>109</v>
      </c>
      <c r="I10" s="10" t="s">
        <v>303</v>
      </c>
      <c r="J10" s="36" t="s">
        <v>304</v>
      </c>
      <c r="K10"/>
      <c r="L10" s="36" t="s">
        <v>305</v>
      </c>
      <c r="M10" s="10" t="s">
        <v>306</v>
      </c>
      <c r="N10" s="10" t="s">
        <v>111</v>
      </c>
      <c r="O10"/>
      <c r="P10"/>
      <c r="Q10" s="36" t="s">
        <v>390</v>
      </c>
      <c r="R10"/>
    </row>
    <row r="11" spans="1:18">
      <c r="A11" t="s">
        <v>128</v>
      </c>
      <c r="B11" s="37">
        <v>1.66</v>
      </c>
      <c r="C11" s="37">
        <v>0.91</v>
      </c>
      <c r="D11" s="33">
        <f>3*C11</f>
        <v>2.73</v>
      </c>
      <c r="E11" s="31"/>
      <c r="F11" t="s">
        <v>112</v>
      </c>
      <c r="G11"/>
      <c r="H11" s="38">
        <f>1/12</f>
        <v>8.3333333333333329E-2</v>
      </c>
      <c r="I11">
        <v>4.8</v>
      </c>
      <c r="J11">
        <v>0.84</v>
      </c>
      <c r="K11"/>
      <c r="L11" s="33">
        <v>139.30898999999999</v>
      </c>
      <c r="M11" s="40">
        <f t="shared" ref="M11:M21" si="0">L11*J11*365/1000</f>
        <v>42.712136333999993</v>
      </c>
      <c r="N11" s="41">
        <v>0.23</v>
      </c>
      <c r="O11"/>
      <c r="P11" s="42"/>
      <c r="Q11" s="38" t="s">
        <v>294</v>
      </c>
      <c r="R11" t="s">
        <v>295</v>
      </c>
    </row>
    <row r="12" spans="1:18">
      <c r="A12" t="s">
        <v>170</v>
      </c>
      <c r="B12">
        <f>B11*1000/H25</f>
        <v>24.356013324450075</v>
      </c>
      <c r="C12">
        <f>C11*1000/H25</f>
        <v>13.35179043689733</v>
      </c>
      <c r="D12">
        <f>C12*3</f>
        <v>40.055371310691989</v>
      </c>
      <c r="E12"/>
      <c r="F12" t="s">
        <v>113</v>
      </c>
      <c r="G12"/>
      <c r="H12" s="38">
        <f>2/12</f>
        <v>0.16666666666666666</v>
      </c>
      <c r="I12">
        <v>5.9</v>
      </c>
      <c r="J12">
        <v>0.9</v>
      </c>
      <c r="K12"/>
      <c r="L12" s="33">
        <v>139.30898999999999</v>
      </c>
      <c r="M12" s="40">
        <f t="shared" si="0"/>
        <v>45.763003214999998</v>
      </c>
      <c r="N12" s="41">
        <v>0.23</v>
      </c>
      <c r="O12"/>
      <c r="P12" t="s">
        <v>391</v>
      </c>
      <c r="Q12">
        <v>95</v>
      </c>
      <c r="R12">
        <v>78</v>
      </c>
    </row>
    <row r="13" spans="1:18">
      <c r="A13"/>
      <c r="B13"/>
      <c r="C13"/>
      <c r="D13"/>
      <c r="E13" s="32"/>
      <c r="F13" t="s">
        <v>114</v>
      </c>
      <c r="G13"/>
      <c r="H13">
        <f>3/12</f>
        <v>0.25</v>
      </c>
      <c r="I13">
        <v>7.4</v>
      </c>
      <c r="J13">
        <v>1.05</v>
      </c>
      <c r="K13"/>
      <c r="L13" s="33">
        <v>139.30898999999999</v>
      </c>
      <c r="M13" s="40">
        <f t="shared" si="0"/>
        <v>53.390170417499995</v>
      </c>
      <c r="N13" s="41">
        <v>0.23</v>
      </c>
      <c r="O13"/>
      <c r="P13" t="s">
        <v>392</v>
      </c>
      <c r="Q13">
        <v>135</v>
      </c>
      <c r="R13">
        <v>70</v>
      </c>
    </row>
    <row r="14" spans="1:18">
      <c r="A14" t="s">
        <v>307</v>
      </c>
      <c r="B14" t="s">
        <v>186</v>
      </c>
      <c r="C14" t="s">
        <v>308</v>
      </c>
      <c r="D14"/>
      <c r="E14"/>
      <c r="F14" t="s">
        <v>115</v>
      </c>
      <c r="G14"/>
      <c r="H14">
        <f>6/12</f>
        <v>0.5</v>
      </c>
      <c r="I14">
        <v>9.1999999999999993</v>
      </c>
      <c r="J14">
        <v>1.05</v>
      </c>
      <c r="K14"/>
      <c r="L14" s="33">
        <v>139.30898999999999</v>
      </c>
      <c r="M14" s="40">
        <f t="shared" si="0"/>
        <v>53.390170417499995</v>
      </c>
      <c r="N14" s="41">
        <v>0.23</v>
      </c>
      <c r="O14"/>
      <c r="P14" t="s">
        <v>393</v>
      </c>
      <c r="Q14">
        <v>113</v>
      </c>
      <c r="R14">
        <v>60</v>
      </c>
    </row>
    <row r="15" spans="1:18">
      <c r="A15" t="s">
        <v>309</v>
      </c>
      <c r="B15">
        <v>5</v>
      </c>
      <c r="C15">
        <v>10</v>
      </c>
      <c r="D15"/>
      <c r="E15"/>
      <c r="F15" t="s">
        <v>116</v>
      </c>
      <c r="G15"/>
      <c r="H15">
        <v>1</v>
      </c>
      <c r="I15">
        <v>11.4</v>
      </c>
      <c r="J15">
        <v>0.84</v>
      </c>
      <c r="K15"/>
      <c r="L15" s="33">
        <v>139.30898999999999</v>
      </c>
      <c r="M15" s="40">
        <f t="shared" si="0"/>
        <v>42.712136333999993</v>
      </c>
      <c r="N15" s="43">
        <v>0.1</v>
      </c>
      <c r="O15"/>
      <c r="P15" t="s">
        <v>394</v>
      </c>
      <c r="Q15">
        <v>58</v>
      </c>
      <c r="R15">
        <v>50</v>
      </c>
    </row>
    <row r="16" spans="1:18">
      <c r="A16" t="s">
        <v>310</v>
      </c>
      <c r="B16">
        <f>B15*B11</f>
        <v>8.2999999999999989</v>
      </c>
      <c r="C16">
        <f>C15*B11</f>
        <v>16.599999999999998</v>
      </c>
      <c r="D16"/>
      <c r="E16"/>
      <c r="F16" t="s">
        <v>117</v>
      </c>
      <c r="G16"/>
      <c r="H16">
        <v>2</v>
      </c>
      <c r="I16">
        <v>13.8</v>
      </c>
      <c r="J16">
        <v>0.88</v>
      </c>
      <c r="K16"/>
      <c r="L16" s="33">
        <v>139.30898999999999</v>
      </c>
      <c r="M16" s="40">
        <f t="shared" si="0"/>
        <v>44.746047588000003</v>
      </c>
      <c r="N16" s="43">
        <v>0.1</v>
      </c>
      <c r="O16"/>
      <c r="P16" t="s">
        <v>395</v>
      </c>
      <c r="Q16">
        <v>10</v>
      </c>
      <c r="R16">
        <v>40</v>
      </c>
    </row>
    <row r="17" spans="1:18">
      <c r="A17"/>
      <c r="B17"/>
      <c r="C17"/>
      <c r="D17"/>
      <c r="E17"/>
      <c r="F17" t="s">
        <v>118</v>
      </c>
      <c r="G17"/>
      <c r="H17">
        <v>3</v>
      </c>
      <c r="I17">
        <v>18.600000000000001</v>
      </c>
      <c r="J17">
        <v>0.96</v>
      </c>
      <c r="K17"/>
      <c r="L17" s="33">
        <v>139.30898999999999</v>
      </c>
      <c r="M17" s="40">
        <f t="shared" si="0"/>
        <v>48.813870096000002</v>
      </c>
      <c r="N17" s="43">
        <v>0.1</v>
      </c>
      <c r="O17"/>
      <c r="P17" s="42"/>
      <c r="Q17" s="38"/>
      <c r="R17"/>
    </row>
    <row r="18" spans="1:18">
      <c r="A18"/>
      <c r="B18"/>
      <c r="C18"/>
      <c r="D18"/>
      <c r="E18"/>
      <c r="F18" t="s">
        <v>119</v>
      </c>
      <c r="G18"/>
      <c r="H18">
        <v>5</v>
      </c>
      <c r="I18">
        <v>31.8</v>
      </c>
      <c r="J18">
        <v>1.31</v>
      </c>
      <c r="K18"/>
      <c r="L18" s="33">
        <v>139.30898999999999</v>
      </c>
      <c r="M18" s="40">
        <f t="shared" si="0"/>
        <v>66.610593568499993</v>
      </c>
      <c r="N18" s="43">
        <v>0.1</v>
      </c>
      <c r="O18"/>
      <c r="P18" s="44" t="s">
        <v>396</v>
      </c>
      <c r="Q18" s="38">
        <f>SUMPRODUCT(Q12:Q16,R12:R16)/SUM(Q12:Q16)</f>
        <v>65.547445255474457</v>
      </c>
      <c r="R18"/>
    </row>
    <row r="19" spans="1:18">
      <c r="A19"/>
      <c r="B19"/>
      <c r="C19"/>
      <c r="D19"/>
      <c r="E19"/>
      <c r="F19" t="s">
        <v>120</v>
      </c>
      <c r="G19"/>
      <c r="H19">
        <v>5</v>
      </c>
      <c r="I19">
        <v>56.8</v>
      </c>
      <c r="J19">
        <v>1.82</v>
      </c>
      <c r="K19"/>
      <c r="L19" s="33">
        <v>139.30898999999999</v>
      </c>
      <c r="M19" s="40">
        <f t="shared" si="0"/>
        <v>92.542962056999997</v>
      </c>
      <c r="N19" s="43">
        <v>0.1</v>
      </c>
      <c r="O19"/>
      <c r="P19"/>
      <c r="Q19"/>
      <c r="R19"/>
    </row>
    <row r="20" spans="1:18">
      <c r="A20" t="s">
        <v>311</v>
      </c>
      <c r="B20"/>
      <c r="C20"/>
      <c r="D20"/>
      <c r="E20"/>
      <c r="F20" t="s">
        <v>121</v>
      </c>
      <c r="G20"/>
      <c r="H20">
        <v>5</v>
      </c>
      <c r="I20">
        <v>71.599999999999994</v>
      </c>
      <c r="J20" s="33">
        <v>2.0754999999999999</v>
      </c>
      <c r="K20"/>
      <c r="L20" s="33">
        <v>139.30898999999999</v>
      </c>
      <c r="M20" s="40">
        <f t="shared" si="0"/>
        <v>105.53457019192498</v>
      </c>
      <c r="N20" s="43">
        <v>0.1</v>
      </c>
      <c r="O20"/>
      <c r="P20"/>
      <c r="Q20" s="36"/>
      <c r="R20"/>
    </row>
    <row r="21" spans="1:18">
      <c r="A21"/>
      <c r="B21"/>
      <c r="C21"/>
      <c r="D21"/>
      <c r="E21"/>
      <c r="F21" t="s">
        <v>122</v>
      </c>
      <c r="G21"/>
      <c r="H21">
        <f>H24-21</f>
        <v>44.547445255474457</v>
      </c>
      <c r="I21">
        <v>80</v>
      </c>
      <c r="J21">
        <v>2.39</v>
      </c>
      <c r="K21"/>
      <c r="L21" s="33">
        <v>139.30898999999999</v>
      </c>
      <c r="M21" s="40">
        <f t="shared" si="0"/>
        <v>121.5261974265</v>
      </c>
      <c r="N21" s="43">
        <v>0.1</v>
      </c>
      <c r="O21"/>
      <c r="P21" s="42"/>
      <c r="Q21" s="38"/>
      <c r="R21"/>
    </row>
    <row r="22" spans="1:18">
      <c r="A22" s="30"/>
      <c r="B22"/>
      <c r="C22"/>
      <c r="D22"/>
      <c r="E22"/>
      <c r="F22"/>
      <c r="G22"/>
      <c r="H22"/>
      <c r="I22"/>
      <c r="J22"/>
      <c r="K22"/>
      <c r="L22"/>
      <c r="M22"/>
      <c r="N22"/>
      <c r="O22"/>
      <c r="P22"/>
      <c r="Q22"/>
      <c r="R22"/>
    </row>
    <row r="23" spans="1:18">
      <c r="A23"/>
      <c r="B23"/>
      <c r="C23"/>
      <c r="D23"/>
      <c r="E23"/>
      <c r="F23"/>
      <c r="G23"/>
      <c r="H23"/>
      <c r="I23"/>
      <c r="J23"/>
      <c r="K23"/>
      <c r="L23"/>
      <c r="M23"/>
      <c r="N23"/>
      <c r="O23"/>
      <c r="P23"/>
      <c r="Q23"/>
      <c r="R23"/>
    </row>
    <row r="24" spans="1:18">
      <c r="A24"/>
      <c r="B24"/>
      <c r="C24"/>
      <c r="D24"/>
      <c r="E24"/>
      <c r="F24" t="s">
        <v>313</v>
      </c>
      <c r="G24"/>
      <c r="H24" s="38">
        <f>Q18</f>
        <v>65.547445255474457</v>
      </c>
      <c r="I24"/>
      <c r="J24"/>
      <c r="K24"/>
      <c r="L24"/>
      <c r="M24"/>
      <c r="N24"/>
      <c r="O24"/>
      <c r="P24"/>
      <c r="Q24"/>
      <c r="R24"/>
    </row>
    <row r="25" spans="1:18">
      <c r="A25"/>
      <c r="B25"/>
      <c r="C25"/>
      <c r="D25"/>
      <c r="E25"/>
      <c r="F25" t="s">
        <v>314</v>
      </c>
      <c r="G25"/>
      <c r="H25">
        <f>SUMPRODUCT(H11:H21,I11:I21)/H24</f>
        <v>68.15565330363772</v>
      </c>
      <c r="I25"/>
      <c r="J25"/>
      <c r="K25"/>
      <c r="L25"/>
      <c r="M25"/>
      <c r="N25"/>
      <c r="O25"/>
      <c r="P25"/>
      <c r="Q25"/>
      <c r="R25"/>
    </row>
  </sheetData>
  <autoFilter ref="A1:I8" xr:uid="{8E9D7E18-A9B3-4191-9DBB-B80908E44EFC}">
    <sortState xmlns:xlrd2="http://schemas.microsoft.com/office/spreadsheetml/2017/richdata2" ref="A2:I8">
      <sortCondition ref="E1:E8"/>
    </sortState>
  </autoFilter>
  <pageMargins left="0.7" right="0.7" top="0.75" bottom="0.75" header="0.3" footer="0.3"/>
  <pageSetup orientation="portrait" r:id="rId1"/>
  <legacy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01927-710C-4F0C-B1DF-C9ACF2A298C0}">
  <dimension ref="A1:J6"/>
  <sheetViews>
    <sheetView topLeftCell="A5" workbookViewId="0">
      <selection activeCell="C6" sqref="C6"/>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43.15">
      <c r="A2" s="104" t="s">
        <v>328</v>
      </c>
      <c r="B2" s="16" t="s">
        <v>28</v>
      </c>
      <c r="C2" s="103" t="s">
        <v>29</v>
      </c>
      <c r="D2" s="47" t="s">
        <v>397</v>
      </c>
      <c r="E2" s="103" t="s">
        <v>398</v>
      </c>
      <c r="F2" s="103" t="s">
        <v>399</v>
      </c>
      <c r="G2" s="103" t="s">
        <v>32</v>
      </c>
      <c r="H2" s="103" t="s">
        <v>331</v>
      </c>
      <c r="I2" s="104" t="s">
        <v>136</v>
      </c>
      <c r="J2" s="104"/>
    </row>
    <row r="3" spans="1:10" ht="43.15">
      <c r="A3" s="104" t="s">
        <v>328</v>
      </c>
      <c r="B3" s="16" t="s">
        <v>35</v>
      </c>
      <c r="C3" s="103" t="s">
        <v>267</v>
      </c>
      <c r="D3" s="47" t="s">
        <v>397</v>
      </c>
      <c r="E3" s="103" t="s">
        <v>398</v>
      </c>
      <c r="F3" s="103" t="s">
        <v>399</v>
      </c>
      <c r="G3" s="103" t="s">
        <v>32</v>
      </c>
      <c r="H3" s="103" t="s">
        <v>400</v>
      </c>
      <c r="I3" s="104" t="s">
        <v>136</v>
      </c>
      <c r="J3" s="104"/>
    </row>
    <row r="4" spans="1:10" ht="43.15">
      <c r="A4" s="104" t="s">
        <v>328</v>
      </c>
      <c r="B4" s="16" t="s">
        <v>43</v>
      </c>
      <c r="C4" s="103" t="s">
        <v>272</v>
      </c>
      <c r="D4" s="47" t="s">
        <v>45</v>
      </c>
      <c r="E4" s="103" t="s">
        <v>398</v>
      </c>
      <c r="F4" s="103" t="s">
        <v>399</v>
      </c>
      <c r="G4" s="103" t="s">
        <v>32</v>
      </c>
      <c r="H4" s="103" t="s">
        <v>401</v>
      </c>
      <c r="I4" s="104" t="s">
        <v>136</v>
      </c>
      <c r="J4" s="104"/>
    </row>
    <row r="5" spans="1:10" ht="75">
      <c r="A5" s="104" t="s">
        <v>328</v>
      </c>
      <c r="B5" s="16" t="s">
        <v>47</v>
      </c>
      <c r="C5" s="103" t="s">
        <v>276</v>
      </c>
      <c r="D5" s="45" t="s">
        <v>49</v>
      </c>
      <c r="E5" s="103" t="s">
        <v>398</v>
      </c>
      <c r="F5" s="103" t="s">
        <v>399</v>
      </c>
      <c r="G5" s="103" t="s">
        <v>32</v>
      </c>
      <c r="H5" s="29" t="s">
        <v>50</v>
      </c>
      <c r="I5" s="104" t="s">
        <v>136</v>
      </c>
      <c r="J5" s="104"/>
    </row>
    <row r="6" spans="1:10" ht="108" customHeight="1">
      <c r="A6" s="104" t="s">
        <v>328</v>
      </c>
      <c r="B6" s="16" t="s">
        <v>51</v>
      </c>
      <c r="C6" s="103" t="s">
        <v>402</v>
      </c>
      <c r="D6" s="3" t="s">
        <v>53</v>
      </c>
      <c r="E6" s="103" t="s">
        <v>398</v>
      </c>
      <c r="F6" s="103" t="s">
        <v>399</v>
      </c>
      <c r="G6" s="103" t="s">
        <v>32</v>
      </c>
      <c r="H6" s="103" t="s">
        <v>54</v>
      </c>
      <c r="I6" s="104" t="s">
        <v>136</v>
      </c>
      <c r="J6" s="104"/>
    </row>
  </sheetData>
  <autoFilter ref="A1:I6" xr:uid="{8E9D7E18-A9B3-4191-9DBB-B80908E44EFC}">
    <sortState xmlns:xlrd2="http://schemas.microsoft.com/office/spreadsheetml/2017/richdata2" ref="A2:I6">
      <sortCondition ref="E1:E6"/>
    </sortState>
  </autoFilter>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2FA2D-C076-46AC-AC91-92136134DD8B}">
  <dimension ref="A1:J8"/>
  <sheetViews>
    <sheetView workbookViewId="0">
      <selection activeCell="C3" sqref="C3"/>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28.9">
      <c r="A2" s="104" t="s">
        <v>87</v>
      </c>
      <c r="B2" s="13" t="s">
        <v>28</v>
      </c>
      <c r="C2" s="104" t="s">
        <v>29</v>
      </c>
      <c r="D2" s="10">
        <v>66</v>
      </c>
      <c r="E2" s="104" t="s">
        <v>88</v>
      </c>
      <c r="F2" s="104" t="s">
        <v>89</v>
      </c>
      <c r="G2" s="104" t="s">
        <v>32</v>
      </c>
      <c r="H2" s="104" t="s">
        <v>90</v>
      </c>
      <c r="I2" s="104" t="s">
        <v>91</v>
      </c>
      <c r="J2" s="104"/>
    </row>
    <row r="3" spans="1:10" ht="28.9">
      <c r="A3" s="104" t="s">
        <v>87</v>
      </c>
      <c r="B3" s="13" t="s">
        <v>35</v>
      </c>
      <c r="C3" s="103" t="s">
        <v>36</v>
      </c>
      <c r="D3" s="2">
        <v>34.4</v>
      </c>
      <c r="E3" s="103" t="s">
        <v>88</v>
      </c>
      <c r="F3" s="103" t="s">
        <v>89</v>
      </c>
      <c r="G3" s="103" t="s">
        <v>32</v>
      </c>
      <c r="H3" s="103" t="s">
        <v>92</v>
      </c>
      <c r="I3" s="104" t="s">
        <v>91</v>
      </c>
      <c r="J3" s="104"/>
    </row>
    <row r="4" spans="1:10" ht="28.9">
      <c r="A4" s="104" t="s">
        <v>87</v>
      </c>
      <c r="B4" s="13" t="s">
        <v>11</v>
      </c>
      <c r="C4" s="103" t="s">
        <v>12</v>
      </c>
      <c r="D4" s="2" t="s">
        <v>93</v>
      </c>
      <c r="E4" s="103" t="s">
        <v>88</v>
      </c>
      <c r="F4" s="103" t="s">
        <v>89</v>
      </c>
      <c r="G4" s="103" t="s">
        <v>32</v>
      </c>
      <c r="H4" s="103" t="s">
        <v>94</v>
      </c>
      <c r="I4" s="104" t="s">
        <v>91</v>
      </c>
      <c r="J4" s="104"/>
    </row>
    <row r="5" spans="1:10" ht="28.9">
      <c r="A5" s="104" t="s">
        <v>87</v>
      </c>
      <c r="B5" s="13" t="s">
        <v>23</v>
      </c>
      <c r="C5" s="103" t="s">
        <v>24</v>
      </c>
      <c r="D5" s="10" t="s">
        <v>41</v>
      </c>
      <c r="E5" s="104" t="s">
        <v>88</v>
      </c>
      <c r="F5" s="104" t="s">
        <v>89</v>
      </c>
      <c r="G5" s="103" t="s">
        <v>32</v>
      </c>
      <c r="H5" s="104" t="s">
        <v>42</v>
      </c>
      <c r="I5" s="104" t="s">
        <v>91</v>
      </c>
      <c r="J5" s="104"/>
    </row>
    <row r="6" spans="1:10" ht="28.9">
      <c r="A6" s="104" t="s">
        <v>87</v>
      </c>
      <c r="B6" s="13" t="s">
        <v>43</v>
      </c>
      <c r="C6" s="104" t="s">
        <v>44</v>
      </c>
      <c r="D6" s="14" t="s">
        <v>45</v>
      </c>
      <c r="E6" s="104" t="s">
        <v>88</v>
      </c>
      <c r="F6" s="104" t="s">
        <v>89</v>
      </c>
      <c r="G6" s="104" t="s">
        <v>32</v>
      </c>
      <c r="H6" s="104" t="s">
        <v>46</v>
      </c>
      <c r="I6" s="104" t="s">
        <v>91</v>
      </c>
      <c r="J6" s="104"/>
    </row>
    <row r="7" spans="1:10" ht="91.5">
      <c r="A7" s="104" t="s">
        <v>87</v>
      </c>
      <c r="B7" s="13" t="s">
        <v>47</v>
      </c>
      <c r="C7" s="103" t="s">
        <v>95</v>
      </c>
      <c r="D7" s="45" t="s">
        <v>49</v>
      </c>
      <c r="E7" s="103" t="s">
        <v>88</v>
      </c>
      <c r="F7" s="104" t="s">
        <v>89</v>
      </c>
      <c r="G7" s="103" t="s">
        <v>32</v>
      </c>
      <c r="H7" s="29" t="s">
        <v>50</v>
      </c>
      <c r="I7" s="104" t="s">
        <v>91</v>
      </c>
      <c r="J7" s="104"/>
    </row>
    <row r="8" spans="1:10" ht="122.25" customHeight="1">
      <c r="A8" s="104" t="s">
        <v>87</v>
      </c>
      <c r="B8" s="13" t="s">
        <v>51</v>
      </c>
      <c r="C8" s="103" t="s">
        <v>52</v>
      </c>
      <c r="D8" s="3" t="s">
        <v>53</v>
      </c>
      <c r="E8" s="103" t="s">
        <v>88</v>
      </c>
      <c r="F8" s="103" t="s">
        <v>89</v>
      </c>
      <c r="G8" s="103" t="s">
        <v>32</v>
      </c>
      <c r="H8" s="103" t="s">
        <v>54</v>
      </c>
      <c r="I8" s="104" t="s">
        <v>91</v>
      </c>
      <c r="J8" s="104"/>
    </row>
  </sheetData>
  <autoFilter ref="A1:I8" xr:uid="{8E9D7E18-A9B3-4191-9DBB-B80908E44EFC}">
    <sortState xmlns:xlrd2="http://schemas.microsoft.com/office/spreadsheetml/2017/richdata2" ref="A2:I8">
      <sortCondition ref="E1:E8"/>
    </sortState>
  </autoFilter>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26B2DE-050F-40A3-9877-89AA5008120B}">
  <dimension ref="A1:J6"/>
  <sheetViews>
    <sheetView topLeftCell="B3" workbookViewId="0">
      <selection activeCell="D5" sqref="D5"/>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c r="A2" s="103" t="s">
        <v>96</v>
      </c>
      <c r="B2" s="13" t="s">
        <v>28</v>
      </c>
      <c r="C2" s="103" t="s">
        <v>29</v>
      </c>
      <c r="D2" s="2">
        <v>56</v>
      </c>
      <c r="E2" s="103" t="s">
        <v>403</v>
      </c>
      <c r="F2" s="103" t="s">
        <v>133</v>
      </c>
      <c r="G2" s="103" t="s">
        <v>32</v>
      </c>
      <c r="H2" s="27" t="s">
        <v>404</v>
      </c>
      <c r="I2" s="103" t="s">
        <v>405</v>
      </c>
      <c r="J2" s="104"/>
    </row>
    <row r="3" spans="1:10" ht="57.6">
      <c r="A3" s="103" t="s">
        <v>96</v>
      </c>
      <c r="B3" s="13" t="s">
        <v>35</v>
      </c>
      <c r="C3" s="103" t="s">
        <v>36</v>
      </c>
      <c r="D3" s="2">
        <v>56</v>
      </c>
      <c r="E3" s="103" t="s">
        <v>403</v>
      </c>
      <c r="F3" s="103" t="s">
        <v>133</v>
      </c>
      <c r="G3" s="103" t="s">
        <v>32</v>
      </c>
      <c r="H3" s="92" t="s">
        <v>406</v>
      </c>
      <c r="I3" s="103" t="s">
        <v>407</v>
      </c>
      <c r="J3" s="104"/>
    </row>
    <row r="4" spans="1:10" ht="28.9">
      <c r="A4" s="103" t="s">
        <v>96</v>
      </c>
      <c r="B4" s="13" t="s">
        <v>43</v>
      </c>
      <c r="C4" s="103" t="s">
        <v>44</v>
      </c>
      <c r="D4" s="2" t="s">
        <v>45</v>
      </c>
      <c r="E4" s="103" t="s">
        <v>403</v>
      </c>
      <c r="F4" s="103" t="s">
        <v>133</v>
      </c>
      <c r="G4" s="103" t="s">
        <v>32</v>
      </c>
      <c r="H4" s="21" t="s">
        <v>138</v>
      </c>
      <c r="I4" s="103" t="s">
        <v>405</v>
      </c>
      <c r="J4" s="104"/>
    </row>
    <row r="5" spans="1:10" ht="80.25" customHeight="1">
      <c r="A5" s="103" t="s">
        <v>96</v>
      </c>
      <c r="B5" s="13" t="s">
        <v>47</v>
      </c>
      <c r="C5" s="103" t="s">
        <v>95</v>
      </c>
      <c r="D5" s="24" t="s">
        <v>49</v>
      </c>
      <c r="E5" s="103" t="s">
        <v>403</v>
      </c>
      <c r="F5" s="103" t="s">
        <v>133</v>
      </c>
      <c r="G5" s="103" t="s">
        <v>32</v>
      </c>
      <c r="H5" s="29" t="s">
        <v>50</v>
      </c>
      <c r="I5" s="103" t="s">
        <v>136</v>
      </c>
      <c r="J5" s="104"/>
    </row>
    <row r="6" spans="1:10" ht="122.25" customHeight="1">
      <c r="A6" s="103" t="s">
        <v>96</v>
      </c>
      <c r="B6" s="13" t="s">
        <v>51</v>
      </c>
      <c r="C6" s="103" t="s">
        <v>52</v>
      </c>
      <c r="D6" s="3" t="s">
        <v>277</v>
      </c>
      <c r="E6" s="103" t="s">
        <v>403</v>
      </c>
      <c r="F6" s="103" t="s">
        <v>133</v>
      </c>
      <c r="G6" s="103" t="s">
        <v>32</v>
      </c>
      <c r="H6" s="103" t="s">
        <v>278</v>
      </c>
      <c r="I6" s="103" t="s">
        <v>136</v>
      </c>
      <c r="J6" s="104"/>
    </row>
  </sheetData>
  <autoFilter ref="A1:I6" xr:uid="{8E9D7E18-A9B3-4191-9DBB-B80908E44EFC}">
    <sortState xmlns:xlrd2="http://schemas.microsoft.com/office/spreadsheetml/2017/richdata2" ref="A2:I6">
      <sortCondition ref="E1:E6"/>
    </sortState>
  </autoFilter>
  <pageMargins left="0.7" right="0.7" top="0.75" bottom="0.75" header="0.3" footer="0.3"/>
  <pageSetup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09FFD-CD57-4B25-93AC-D5DAFB047BBF}">
  <dimension ref="A1:J20"/>
  <sheetViews>
    <sheetView workbookViewId="0">
      <selection activeCell="D6" sqref="D6"/>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26.5703125" style="8" customWidth="1"/>
    <col min="10" max="16384" width="8.85546875" style="8"/>
  </cols>
  <sheetData>
    <row r="1" spans="1:10" ht="28.9">
      <c r="A1" s="5" t="s">
        <v>0</v>
      </c>
      <c r="B1" s="12" t="s">
        <v>1</v>
      </c>
      <c r="C1" s="6" t="s">
        <v>2</v>
      </c>
      <c r="D1" s="6" t="s">
        <v>3</v>
      </c>
      <c r="E1" s="6" t="s">
        <v>4</v>
      </c>
      <c r="F1" s="6" t="s">
        <v>5</v>
      </c>
      <c r="G1" s="6" t="s">
        <v>6</v>
      </c>
      <c r="H1" s="6" t="s">
        <v>7</v>
      </c>
      <c r="I1" s="7" t="s">
        <v>9</v>
      </c>
      <c r="J1" s="104"/>
    </row>
    <row r="2" spans="1:10" ht="28.9">
      <c r="A2" s="104" t="s">
        <v>10</v>
      </c>
      <c r="B2" s="16" t="s">
        <v>11</v>
      </c>
      <c r="C2" s="20" t="s">
        <v>140</v>
      </c>
      <c r="D2" s="2" t="s">
        <v>408</v>
      </c>
      <c r="E2" s="103" t="s">
        <v>409</v>
      </c>
      <c r="F2" s="103" t="s">
        <v>256</v>
      </c>
      <c r="G2" s="103" t="s">
        <v>154</v>
      </c>
      <c r="H2" s="103" t="s">
        <v>410</v>
      </c>
      <c r="I2" s="104"/>
      <c r="J2" s="104"/>
    </row>
    <row r="3" spans="1:10" ht="28.9">
      <c r="A3" s="104" t="s">
        <v>10</v>
      </c>
      <c r="B3" s="16" t="s">
        <v>19</v>
      </c>
      <c r="C3" s="20" t="s">
        <v>20</v>
      </c>
      <c r="D3" s="2" t="s">
        <v>411</v>
      </c>
      <c r="E3" s="103" t="s">
        <v>409</v>
      </c>
      <c r="F3" s="103" t="s">
        <v>256</v>
      </c>
      <c r="G3" s="103" t="s">
        <v>154</v>
      </c>
      <c r="H3" s="103" t="s">
        <v>412</v>
      </c>
      <c r="I3" s="104"/>
      <c r="J3" s="104"/>
    </row>
    <row r="4" spans="1:10" ht="28.9">
      <c r="A4" s="104" t="s">
        <v>10</v>
      </c>
      <c r="B4" s="16" t="s">
        <v>23</v>
      </c>
      <c r="C4" s="20" t="s">
        <v>24</v>
      </c>
      <c r="D4" s="2" t="s">
        <v>41</v>
      </c>
      <c r="E4" s="103" t="s">
        <v>409</v>
      </c>
      <c r="F4" s="103" t="s">
        <v>256</v>
      </c>
      <c r="G4" s="103" t="s">
        <v>154</v>
      </c>
      <c r="H4" s="103" t="s">
        <v>413</v>
      </c>
      <c r="I4" s="104"/>
      <c r="J4" s="104"/>
    </row>
    <row r="5" spans="1:10" s="93" customFormat="1" ht="43.15">
      <c r="A5" s="104" t="s">
        <v>10</v>
      </c>
      <c r="B5" s="16" t="s">
        <v>414</v>
      </c>
      <c r="C5" s="20" t="s">
        <v>415</v>
      </c>
      <c r="D5" s="2" t="s">
        <v>416</v>
      </c>
      <c r="E5" s="103" t="s">
        <v>409</v>
      </c>
      <c r="F5" s="103" t="s">
        <v>256</v>
      </c>
      <c r="G5" s="103" t="s">
        <v>154</v>
      </c>
      <c r="H5" s="103" t="s">
        <v>417</v>
      </c>
      <c r="I5" s="104"/>
      <c r="J5" s="104"/>
    </row>
    <row r="6" spans="1:10" s="93" customFormat="1" ht="102" customHeight="1">
      <c r="A6" s="104" t="s">
        <v>10</v>
      </c>
      <c r="B6" s="13" t="s">
        <v>51</v>
      </c>
      <c r="C6" s="103" t="s">
        <v>52</v>
      </c>
      <c r="D6" s="3" t="s">
        <v>277</v>
      </c>
      <c r="E6" s="103" t="s">
        <v>409</v>
      </c>
      <c r="F6" s="103" t="s">
        <v>256</v>
      </c>
      <c r="G6" s="103" t="s">
        <v>154</v>
      </c>
      <c r="H6" s="103" t="s">
        <v>278</v>
      </c>
      <c r="I6" s="104"/>
      <c r="J6" s="104"/>
    </row>
    <row r="7" spans="1:10">
      <c r="A7" s="103"/>
      <c r="C7" s="103"/>
      <c r="E7" s="103"/>
      <c r="F7" s="103"/>
      <c r="G7" s="103"/>
      <c r="H7" s="103"/>
      <c r="I7" s="104"/>
      <c r="J7" s="104"/>
    </row>
    <row r="8" spans="1:10">
      <c r="A8" s="83" t="s">
        <v>418</v>
      </c>
      <c r="B8"/>
      <c r="C8"/>
      <c r="D8"/>
      <c r="E8"/>
      <c r="F8" s="103"/>
      <c r="G8" s="103"/>
      <c r="H8" s="103"/>
      <c r="I8" s="104"/>
      <c r="J8" s="104"/>
    </row>
    <row r="9" spans="1:10">
      <c r="A9" s="83"/>
      <c r="B9"/>
      <c r="C9"/>
      <c r="D9"/>
      <c r="E9"/>
      <c r="F9" s="103"/>
      <c r="G9" s="103"/>
      <c r="H9" s="103"/>
      <c r="I9" s="104"/>
      <c r="J9" s="104"/>
    </row>
    <row r="10" spans="1:10">
      <c r="A10" s="83"/>
      <c r="B10"/>
      <c r="C10"/>
      <c r="D10"/>
      <c r="E10"/>
      <c r="F10" s="103"/>
      <c r="G10" s="103"/>
      <c r="H10" s="103"/>
      <c r="I10" s="104"/>
      <c r="J10" s="104"/>
    </row>
    <row r="11" spans="1:10">
      <c r="A11" s="83" t="s">
        <v>419</v>
      </c>
      <c r="B11"/>
      <c r="C11"/>
      <c r="D11"/>
      <c r="E11"/>
      <c r="F11" s="103"/>
      <c r="G11" s="103"/>
      <c r="H11" s="103"/>
      <c r="I11" s="104"/>
      <c r="J11" s="104"/>
    </row>
    <row r="12" spans="1:10">
      <c r="A12" s="84" t="s">
        <v>420</v>
      </c>
      <c r="B12"/>
      <c r="C12"/>
      <c r="D12"/>
      <c r="E12"/>
      <c r="F12" s="103"/>
      <c r="G12" s="103"/>
      <c r="H12" s="103"/>
      <c r="I12" s="104"/>
      <c r="J12" s="104"/>
    </row>
    <row r="13" spans="1:10">
      <c r="A13" s="84" t="s">
        <v>421</v>
      </c>
      <c r="B13"/>
      <c r="C13"/>
      <c r="D13"/>
      <c r="E13"/>
      <c r="F13" s="103"/>
      <c r="G13" s="103"/>
      <c r="H13" s="103"/>
      <c r="I13" s="104"/>
      <c r="J13" s="104"/>
    </row>
    <row r="14" spans="1:10">
      <c r="A14" s="83"/>
      <c r="B14"/>
      <c r="C14"/>
      <c r="D14"/>
      <c r="E14"/>
      <c r="F14" s="103"/>
      <c r="G14" s="103"/>
      <c r="H14" s="103"/>
      <c r="I14" s="104"/>
      <c r="J14" s="104"/>
    </row>
    <row r="15" spans="1:10" ht="15">
      <c r="A15" s="85"/>
      <c r="B15" s="86" t="s">
        <v>375</v>
      </c>
      <c r="C15" s="86" t="s">
        <v>422</v>
      </c>
      <c r="D15" s="86" t="s">
        <v>423</v>
      </c>
      <c r="E15" s="86" t="s">
        <v>424</v>
      </c>
      <c r="F15" s="103"/>
      <c r="G15" s="103"/>
      <c r="H15" s="103"/>
      <c r="I15" s="104"/>
      <c r="J15" s="104"/>
    </row>
    <row r="16" spans="1:10">
      <c r="A16" s="87" t="s">
        <v>425</v>
      </c>
      <c r="B16" s="88">
        <v>114</v>
      </c>
      <c r="C16" s="88" t="s">
        <v>426</v>
      </c>
      <c r="D16" s="88" t="s">
        <v>427</v>
      </c>
      <c r="E16" s="88" t="s">
        <v>428</v>
      </c>
      <c r="F16" s="103"/>
      <c r="G16" s="103"/>
      <c r="H16" s="103"/>
      <c r="I16" s="104"/>
      <c r="J16" s="104"/>
    </row>
    <row r="17" spans="1:10">
      <c r="A17" s="87" t="s">
        <v>429</v>
      </c>
      <c r="B17" s="88">
        <v>115</v>
      </c>
      <c r="C17" s="88" t="s">
        <v>430</v>
      </c>
      <c r="D17" s="88" t="s">
        <v>431</v>
      </c>
      <c r="E17" s="88" t="s">
        <v>432</v>
      </c>
      <c r="F17" s="103"/>
      <c r="G17" s="103"/>
      <c r="H17" s="103"/>
      <c r="I17" s="104"/>
      <c r="J17" s="104"/>
    </row>
    <row r="18" spans="1:10">
      <c r="A18" s="87" t="s">
        <v>433</v>
      </c>
      <c r="B18" s="88">
        <v>69</v>
      </c>
      <c r="C18" s="88" t="s">
        <v>434</v>
      </c>
      <c r="D18" s="88" t="s">
        <v>435</v>
      </c>
      <c r="E18" s="88" t="s">
        <v>436</v>
      </c>
      <c r="F18" s="103"/>
      <c r="G18" s="103"/>
      <c r="H18" s="103"/>
      <c r="I18" s="104"/>
      <c r="J18" s="104"/>
    </row>
    <row r="19" spans="1:10">
      <c r="A19" s="87" t="s">
        <v>437</v>
      </c>
      <c r="B19" s="88">
        <v>88</v>
      </c>
      <c r="C19" s="88" t="s">
        <v>438</v>
      </c>
      <c r="D19" s="88" t="s">
        <v>439</v>
      </c>
      <c r="E19" s="88" t="s">
        <v>440</v>
      </c>
      <c r="F19" s="103"/>
      <c r="G19" s="103"/>
      <c r="H19" s="103"/>
      <c r="I19" s="104"/>
      <c r="J19" s="104"/>
    </row>
    <row r="20" spans="1:10">
      <c r="A20" s="89" t="s">
        <v>441</v>
      </c>
      <c r="B20" s="90">
        <v>386</v>
      </c>
      <c r="C20" s="90" t="s">
        <v>442</v>
      </c>
      <c r="D20" s="90" t="s">
        <v>443</v>
      </c>
      <c r="E20" s="90" t="s">
        <v>444</v>
      </c>
      <c r="F20" s="103"/>
      <c r="G20" s="103"/>
      <c r="H20" s="103"/>
      <c r="I20" s="104"/>
      <c r="J20" s="104"/>
    </row>
  </sheetData>
  <autoFilter ref="A1:H4" xr:uid="{8E9D7E18-A9B3-4191-9DBB-B80908E44EFC}">
    <sortState xmlns:xlrd2="http://schemas.microsoft.com/office/spreadsheetml/2017/richdata2" ref="A2:H4">
      <sortCondition ref="E1:E4"/>
    </sortState>
  </autoFilter>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349F9-05F2-4DDF-BC22-04CC6FF8124E}">
  <dimension ref="A1:J23"/>
  <sheetViews>
    <sheetView topLeftCell="A3" workbookViewId="0">
      <selection activeCell="H6" sqref="H6"/>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66.599999999999994" customHeight="1">
      <c r="A2" s="103" t="s">
        <v>96</v>
      </c>
      <c r="B2" s="13" t="s">
        <v>28</v>
      </c>
      <c r="C2" s="103" t="s">
        <v>29</v>
      </c>
      <c r="D2" s="2">
        <v>61</v>
      </c>
      <c r="E2" s="103" t="s">
        <v>445</v>
      </c>
      <c r="F2" s="103" t="s">
        <v>15</v>
      </c>
      <c r="G2" s="103" t="s">
        <v>16</v>
      </c>
      <c r="H2" s="103" t="s">
        <v>446</v>
      </c>
      <c r="I2" s="103" t="s">
        <v>447</v>
      </c>
      <c r="J2" s="104"/>
    </row>
    <row r="3" spans="1:10" ht="57" customHeight="1">
      <c r="A3" s="103" t="s">
        <v>96</v>
      </c>
      <c r="B3" s="13" t="s">
        <v>35</v>
      </c>
      <c r="C3" s="103" t="s">
        <v>36</v>
      </c>
      <c r="D3" s="2">
        <v>61</v>
      </c>
      <c r="E3" s="103" t="s">
        <v>445</v>
      </c>
      <c r="F3" s="103" t="s">
        <v>15</v>
      </c>
      <c r="G3" s="103" t="s">
        <v>16</v>
      </c>
      <c r="H3" s="103" t="s">
        <v>137</v>
      </c>
      <c r="I3" s="103" t="s">
        <v>447</v>
      </c>
      <c r="J3" s="104"/>
    </row>
    <row r="4" spans="1:10" ht="28.9">
      <c r="A4" s="103" t="s">
        <v>96</v>
      </c>
      <c r="B4" s="13" t="s">
        <v>43</v>
      </c>
      <c r="C4" s="103" t="s">
        <v>44</v>
      </c>
      <c r="D4" s="2" t="s">
        <v>158</v>
      </c>
      <c r="E4" s="103" t="s">
        <v>445</v>
      </c>
      <c r="F4" s="103" t="s">
        <v>15</v>
      </c>
      <c r="G4" s="103" t="s">
        <v>16</v>
      </c>
      <c r="H4" s="23" t="s">
        <v>448</v>
      </c>
      <c r="I4" s="103" t="s">
        <v>447</v>
      </c>
      <c r="J4" s="104"/>
    </row>
    <row r="5" spans="1:10" ht="75">
      <c r="A5" s="103" t="s">
        <v>96</v>
      </c>
      <c r="B5" s="13" t="s">
        <v>47</v>
      </c>
      <c r="C5" s="103" t="s">
        <v>95</v>
      </c>
      <c r="D5" s="24" t="s">
        <v>49</v>
      </c>
      <c r="E5" s="103" t="s">
        <v>445</v>
      </c>
      <c r="F5" s="103" t="s">
        <v>15</v>
      </c>
      <c r="G5" s="103" t="s">
        <v>16</v>
      </c>
      <c r="H5" s="29" t="s">
        <v>50</v>
      </c>
      <c r="I5" s="103" t="s">
        <v>447</v>
      </c>
      <c r="J5" s="104"/>
    </row>
    <row r="6" spans="1:10" ht="75" customHeight="1">
      <c r="A6" s="103" t="s">
        <v>96</v>
      </c>
      <c r="B6" s="13" t="s">
        <v>51</v>
      </c>
      <c r="C6" s="103" t="s">
        <v>52</v>
      </c>
      <c r="D6" s="2" t="s">
        <v>449</v>
      </c>
      <c r="E6" s="103" t="s">
        <v>445</v>
      </c>
      <c r="F6" s="103" t="s">
        <v>15</v>
      </c>
      <c r="G6" s="103" t="s">
        <v>16</v>
      </c>
      <c r="H6" s="23" t="s">
        <v>240</v>
      </c>
      <c r="I6" s="103" t="s">
        <v>447</v>
      </c>
      <c r="J6" s="104"/>
    </row>
    <row r="9" spans="1:10">
      <c r="A9" s="103"/>
      <c r="C9" s="103"/>
      <c r="D9" s="30" t="s">
        <v>241</v>
      </c>
      <c r="E9"/>
      <c r="F9"/>
      <c r="G9"/>
      <c r="H9"/>
      <c r="I9" s="103"/>
      <c r="J9" s="104"/>
    </row>
    <row r="10" spans="1:10">
      <c r="A10" s="103"/>
      <c r="C10" s="103"/>
      <c r="D10" t="s">
        <v>169</v>
      </c>
      <c r="E10" t="s">
        <v>242</v>
      </c>
      <c r="F10" t="s">
        <v>243</v>
      </c>
      <c r="G10"/>
      <c r="H10"/>
      <c r="I10" s="103"/>
      <c r="J10" s="104"/>
    </row>
    <row r="11" spans="1:10">
      <c r="A11" s="103"/>
      <c r="C11" s="103"/>
      <c r="D11" t="s">
        <v>244</v>
      </c>
      <c r="E11">
        <v>3.5</v>
      </c>
      <c r="F11">
        <v>5.6</v>
      </c>
      <c r="G11"/>
      <c r="H11"/>
      <c r="I11" s="103"/>
      <c r="J11" s="104"/>
    </row>
    <row r="12" spans="1:10">
      <c r="A12" s="103"/>
      <c r="C12" s="103"/>
      <c r="D12">
        <v>0.01</v>
      </c>
      <c r="E12">
        <v>14.1</v>
      </c>
      <c r="F12">
        <v>23.5</v>
      </c>
      <c r="G12">
        <f t="shared" ref="G12:G21" si="0">AVERAGE(E12:F12)</f>
        <v>18.8</v>
      </c>
      <c r="H12"/>
      <c r="I12" s="103"/>
      <c r="J12" s="104"/>
    </row>
    <row r="13" spans="1:10">
      <c r="A13" s="103"/>
      <c r="C13" s="103"/>
      <c r="D13">
        <v>2.5000000000000001E-2</v>
      </c>
      <c r="E13">
        <v>19.8</v>
      </c>
      <c r="F13">
        <v>28.4</v>
      </c>
      <c r="G13">
        <f t="shared" si="0"/>
        <v>24.1</v>
      </c>
      <c r="H13"/>
      <c r="I13" s="103"/>
      <c r="J13" s="104"/>
    </row>
    <row r="14" spans="1:10">
      <c r="A14" s="103"/>
      <c r="C14" s="103"/>
      <c r="D14">
        <v>0.05</v>
      </c>
      <c r="E14">
        <v>23.9</v>
      </c>
      <c r="F14">
        <v>33.299999999999997</v>
      </c>
      <c r="G14">
        <f t="shared" si="0"/>
        <v>28.599999999999998</v>
      </c>
      <c r="H14"/>
      <c r="I14" s="103"/>
      <c r="J14" s="104"/>
    </row>
    <row r="15" spans="1:10">
      <c r="A15" s="103"/>
      <c r="C15" s="103"/>
      <c r="D15">
        <v>0.1</v>
      </c>
      <c r="E15">
        <v>29.3</v>
      </c>
      <c r="F15">
        <v>39.9</v>
      </c>
      <c r="G15">
        <f t="shared" si="0"/>
        <v>34.6</v>
      </c>
      <c r="H15"/>
      <c r="I15" s="103"/>
      <c r="J15" s="104"/>
    </row>
    <row r="16" spans="1:10">
      <c r="A16" s="103"/>
      <c r="C16" s="103"/>
      <c r="D16">
        <v>0.25</v>
      </c>
      <c r="E16">
        <v>40.200000000000003</v>
      </c>
      <c r="F16">
        <v>51.6</v>
      </c>
      <c r="G16">
        <f t="shared" si="0"/>
        <v>45.900000000000006</v>
      </c>
      <c r="H16"/>
      <c r="I16" s="103"/>
      <c r="J16" s="104"/>
    </row>
    <row r="17" spans="4:8">
      <c r="D17">
        <v>0.5</v>
      </c>
      <c r="E17">
        <v>54.3</v>
      </c>
      <c r="F17">
        <v>67</v>
      </c>
      <c r="G17">
        <f t="shared" si="0"/>
        <v>60.65</v>
      </c>
      <c r="H17"/>
    </row>
    <row r="18" spans="4:8">
      <c r="D18">
        <v>0.75</v>
      </c>
      <c r="E18">
        <v>71.3</v>
      </c>
      <c r="F18">
        <v>84.7</v>
      </c>
      <c r="G18">
        <f t="shared" si="0"/>
        <v>78</v>
      </c>
      <c r="H18"/>
    </row>
    <row r="19" spans="4:8">
      <c r="D19">
        <v>0.9</v>
      </c>
      <c r="E19">
        <v>91.5</v>
      </c>
      <c r="F19">
        <v>104.6</v>
      </c>
      <c r="G19">
        <f t="shared" si="0"/>
        <v>98.05</v>
      </c>
      <c r="H19"/>
    </row>
    <row r="20" spans="4:8">
      <c r="D20">
        <v>0.95</v>
      </c>
      <c r="E20">
        <v>104.7</v>
      </c>
      <c r="F20">
        <v>120</v>
      </c>
      <c r="G20">
        <f t="shared" si="0"/>
        <v>112.35</v>
      </c>
      <c r="H20"/>
    </row>
    <row r="21" spans="4:8">
      <c r="D21">
        <v>0.99</v>
      </c>
      <c r="E21">
        <v>133.6</v>
      </c>
      <c r="F21">
        <v>154</v>
      </c>
      <c r="G21">
        <f t="shared" si="0"/>
        <v>143.80000000000001</v>
      </c>
      <c r="H21"/>
    </row>
    <row r="22" spans="4:8">
      <c r="D22" t="s">
        <v>245</v>
      </c>
      <c r="E22">
        <v>221.7</v>
      </c>
      <c r="F22">
        <v>314.5</v>
      </c>
      <c r="G22"/>
      <c r="H22"/>
    </row>
    <row r="23" spans="4:8">
      <c r="D23" t="s">
        <v>246</v>
      </c>
      <c r="E23">
        <v>58</v>
      </c>
      <c r="F23">
        <v>70.400000000000006</v>
      </c>
      <c r="G23">
        <f>AVERAGE(G12:G21)</f>
        <v>64.484999999999985</v>
      </c>
      <c r="H23"/>
    </row>
  </sheetData>
  <autoFilter ref="A1:I6" xr:uid="{8E9D7E18-A9B3-4191-9DBB-B80908E44EFC}">
    <sortState xmlns:xlrd2="http://schemas.microsoft.com/office/spreadsheetml/2017/richdata2" ref="A2:I6">
      <sortCondition ref="E1:E6"/>
    </sortState>
  </autoFilter>
  <pageMargins left="0.7" right="0.7" top="0.75" bottom="0.75" header="0.3" footer="0.3"/>
  <pageSetup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7E745D-AA7B-4A16-A4C1-38242C89477D}">
  <dimension ref="A1:J22"/>
  <sheetViews>
    <sheetView topLeftCell="A4" workbookViewId="0">
      <selection activeCell="H6" sqref="H6"/>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57.6">
      <c r="A2" s="103" t="s">
        <v>96</v>
      </c>
      <c r="B2" s="13" t="s">
        <v>28</v>
      </c>
      <c r="C2" s="103" t="s">
        <v>29</v>
      </c>
      <c r="D2" s="2">
        <v>60</v>
      </c>
      <c r="E2" s="103" t="s">
        <v>450</v>
      </c>
      <c r="F2" s="103" t="s">
        <v>15</v>
      </c>
      <c r="G2" s="103" t="s">
        <v>32</v>
      </c>
      <c r="H2" s="21" t="s">
        <v>451</v>
      </c>
      <c r="I2" s="103" t="s">
        <v>136</v>
      </c>
      <c r="J2" s="104"/>
    </row>
    <row r="3" spans="1:10" ht="28.9">
      <c r="A3" s="103" t="s">
        <v>96</v>
      </c>
      <c r="B3" s="13" t="s">
        <v>35</v>
      </c>
      <c r="C3" s="103" t="s">
        <v>36</v>
      </c>
      <c r="D3" s="2">
        <v>60</v>
      </c>
      <c r="E3" s="103" t="s">
        <v>450</v>
      </c>
      <c r="F3" s="103" t="s">
        <v>15</v>
      </c>
      <c r="G3" s="103" t="s">
        <v>32</v>
      </c>
      <c r="H3" s="103" t="s">
        <v>137</v>
      </c>
      <c r="I3" s="103" t="s">
        <v>136</v>
      </c>
      <c r="J3" s="104"/>
    </row>
    <row r="4" spans="1:10" ht="28.9">
      <c r="A4" s="103" t="s">
        <v>96</v>
      </c>
      <c r="B4" s="13" t="s">
        <v>43</v>
      </c>
      <c r="C4" s="103" t="s">
        <v>44</v>
      </c>
      <c r="D4" s="2" t="s">
        <v>158</v>
      </c>
      <c r="E4" s="103" t="s">
        <v>450</v>
      </c>
      <c r="F4" s="103" t="s">
        <v>15</v>
      </c>
      <c r="G4" s="103" t="s">
        <v>32</v>
      </c>
      <c r="H4" s="103" t="s">
        <v>237</v>
      </c>
      <c r="I4" s="103" t="s">
        <v>136</v>
      </c>
      <c r="J4" s="104"/>
    </row>
    <row r="5" spans="1:10" ht="75">
      <c r="A5" s="103" t="s">
        <v>96</v>
      </c>
      <c r="B5" s="13" t="s">
        <v>47</v>
      </c>
      <c r="C5" s="103" t="s">
        <v>95</v>
      </c>
      <c r="D5" s="24" t="s">
        <v>49</v>
      </c>
      <c r="E5" s="103" t="s">
        <v>450</v>
      </c>
      <c r="F5" s="103" t="s">
        <v>15</v>
      </c>
      <c r="G5" s="103" t="s">
        <v>32</v>
      </c>
      <c r="H5" s="29" t="s">
        <v>50</v>
      </c>
      <c r="I5" s="103" t="s">
        <v>136</v>
      </c>
      <c r="J5" s="104"/>
    </row>
    <row r="6" spans="1:10" ht="57.6">
      <c r="A6" s="103" t="s">
        <v>96</v>
      </c>
      <c r="B6" s="13" t="s">
        <v>51</v>
      </c>
      <c r="C6" s="103" t="s">
        <v>52</v>
      </c>
      <c r="D6" s="2" t="s">
        <v>449</v>
      </c>
      <c r="E6" s="103" t="s">
        <v>450</v>
      </c>
      <c r="F6" s="103" t="s">
        <v>15</v>
      </c>
      <c r="G6" s="103" t="s">
        <v>32</v>
      </c>
      <c r="H6" s="23" t="s">
        <v>240</v>
      </c>
      <c r="I6" s="103" t="s">
        <v>136</v>
      </c>
      <c r="J6" s="104"/>
    </row>
    <row r="8" spans="1:10">
      <c r="A8" s="103"/>
      <c r="C8" s="103"/>
      <c r="D8" s="30" t="s">
        <v>241</v>
      </c>
      <c r="E8"/>
      <c r="F8"/>
      <c r="G8"/>
      <c r="H8" s="103"/>
      <c r="I8" s="103"/>
      <c r="J8" s="104"/>
    </row>
    <row r="9" spans="1:10">
      <c r="A9" s="103"/>
      <c r="C9" s="103"/>
      <c r="D9" t="s">
        <v>169</v>
      </c>
      <c r="E9" t="s">
        <v>242</v>
      </c>
      <c r="F9" t="s">
        <v>243</v>
      </c>
      <c r="G9"/>
      <c r="H9" s="103"/>
      <c r="I9" s="103"/>
      <c r="J9" s="104"/>
    </row>
    <row r="10" spans="1:10">
      <c r="A10" s="103"/>
      <c r="C10" s="103"/>
      <c r="D10" t="s">
        <v>244</v>
      </c>
      <c r="E10">
        <v>3.5</v>
      </c>
      <c r="F10">
        <v>5.6</v>
      </c>
      <c r="G10"/>
      <c r="H10" s="103"/>
      <c r="I10" s="103"/>
      <c r="J10" s="104"/>
    </row>
    <row r="11" spans="1:10">
      <c r="A11" s="103"/>
      <c r="C11" s="103"/>
      <c r="D11">
        <v>0.01</v>
      </c>
      <c r="E11">
        <v>14.1</v>
      </c>
      <c r="F11">
        <v>23.5</v>
      </c>
      <c r="G11">
        <f t="shared" ref="G11:G20" si="0">AVERAGE(E11:F11)</f>
        <v>18.8</v>
      </c>
      <c r="H11" s="103"/>
      <c r="I11" s="103"/>
      <c r="J11" s="104"/>
    </row>
    <row r="12" spans="1:10">
      <c r="A12" s="103"/>
      <c r="C12" s="103"/>
      <c r="D12">
        <v>2.5000000000000001E-2</v>
      </c>
      <c r="E12">
        <v>19.8</v>
      </c>
      <c r="F12">
        <v>28.4</v>
      </c>
      <c r="G12">
        <f t="shared" si="0"/>
        <v>24.1</v>
      </c>
      <c r="H12" s="103"/>
      <c r="I12" s="103"/>
      <c r="J12" s="104"/>
    </row>
    <row r="13" spans="1:10">
      <c r="A13" s="103"/>
      <c r="C13" s="103"/>
      <c r="D13">
        <v>0.05</v>
      </c>
      <c r="E13">
        <v>23.9</v>
      </c>
      <c r="F13">
        <v>33.299999999999997</v>
      </c>
      <c r="G13">
        <f t="shared" si="0"/>
        <v>28.599999999999998</v>
      </c>
      <c r="H13" s="103"/>
      <c r="I13" s="103"/>
      <c r="J13" s="104"/>
    </row>
    <row r="14" spans="1:10">
      <c r="A14" s="103"/>
      <c r="C14" s="103"/>
      <c r="D14">
        <v>0.1</v>
      </c>
      <c r="E14">
        <v>29.3</v>
      </c>
      <c r="F14">
        <v>39.9</v>
      </c>
      <c r="G14">
        <f t="shared" si="0"/>
        <v>34.6</v>
      </c>
      <c r="H14" s="103"/>
      <c r="I14" s="103"/>
      <c r="J14" s="104"/>
    </row>
    <row r="15" spans="1:10">
      <c r="A15" s="103"/>
      <c r="C15" s="103"/>
      <c r="D15">
        <v>0.25</v>
      </c>
      <c r="E15">
        <v>40.200000000000003</v>
      </c>
      <c r="F15">
        <v>51.6</v>
      </c>
      <c r="G15">
        <f t="shared" si="0"/>
        <v>45.900000000000006</v>
      </c>
      <c r="H15" s="103"/>
      <c r="I15" s="103"/>
      <c r="J15" s="104"/>
    </row>
    <row r="16" spans="1:10">
      <c r="A16" s="103"/>
      <c r="C16" s="103"/>
      <c r="D16">
        <v>0.5</v>
      </c>
      <c r="E16">
        <v>54.3</v>
      </c>
      <c r="F16">
        <v>67</v>
      </c>
      <c r="G16">
        <f t="shared" si="0"/>
        <v>60.65</v>
      </c>
      <c r="H16" s="103"/>
      <c r="I16" s="103"/>
      <c r="J16" s="104"/>
    </row>
    <row r="17" spans="4:7">
      <c r="D17">
        <v>0.75</v>
      </c>
      <c r="E17">
        <v>71.3</v>
      </c>
      <c r="F17">
        <v>84.7</v>
      </c>
      <c r="G17">
        <f t="shared" si="0"/>
        <v>78</v>
      </c>
    </row>
    <row r="18" spans="4:7">
      <c r="D18">
        <v>0.9</v>
      </c>
      <c r="E18">
        <v>91.5</v>
      </c>
      <c r="F18">
        <v>104.6</v>
      </c>
      <c r="G18">
        <f t="shared" si="0"/>
        <v>98.05</v>
      </c>
    </row>
    <row r="19" spans="4:7">
      <c r="D19">
        <v>0.95</v>
      </c>
      <c r="E19">
        <v>104.7</v>
      </c>
      <c r="F19">
        <v>120</v>
      </c>
      <c r="G19">
        <f t="shared" si="0"/>
        <v>112.35</v>
      </c>
    </row>
    <row r="20" spans="4:7">
      <c r="D20">
        <v>0.99</v>
      </c>
      <c r="E20">
        <v>133.6</v>
      </c>
      <c r="F20">
        <v>154</v>
      </c>
      <c r="G20">
        <f t="shared" si="0"/>
        <v>143.80000000000001</v>
      </c>
    </row>
    <row r="21" spans="4:7">
      <c r="D21" t="s">
        <v>245</v>
      </c>
      <c r="E21">
        <v>221.7</v>
      </c>
      <c r="F21">
        <v>314.5</v>
      </c>
      <c r="G21"/>
    </row>
    <row r="22" spans="4:7">
      <c r="D22" t="s">
        <v>246</v>
      </c>
      <c r="E22">
        <v>58</v>
      </c>
      <c r="F22">
        <v>70.400000000000006</v>
      </c>
      <c r="G22">
        <f>AVERAGE(G11:G20)</f>
        <v>64.484999999999985</v>
      </c>
    </row>
  </sheetData>
  <autoFilter ref="A1:I6" xr:uid="{8E9D7E18-A9B3-4191-9DBB-B80908E44EFC}">
    <sortState xmlns:xlrd2="http://schemas.microsoft.com/office/spreadsheetml/2017/richdata2" ref="A2:I6">
      <sortCondition ref="E1:E6"/>
    </sortState>
  </autoFilter>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B40EC-78C3-4D96-BDAA-B865D6254D4B}">
  <dimension ref="A1:I5"/>
  <sheetViews>
    <sheetView workbookViewId="0">
      <selection activeCell="F15" sqref="F15"/>
    </sheetView>
  </sheetViews>
  <sheetFormatPr defaultColWidth="8.85546875" defaultRowHeight="14.45"/>
  <cols>
    <col min="1" max="1" width="15.140625" style="98" customWidth="1"/>
    <col min="2" max="2" width="8.85546875" style="13" customWidth="1"/>
    <col min="3" max="3" width="26.140625" style="98" customWidth="1"/>
    <col min="4" max="4" width="11.5703125" style="2" customWidth="1"/>
    <col min="5" max="5" width="18" style="98" customWidth="1"/>
    <col min="6" max="6" width="23.5703125" style="98" customWidth="1"/>
    <col min="7" max="7" width="13.85546875" style="98" customWidth="1"/>
    <col min="8" max="8" width="83.5703125" style="98" customWidth="1"/>
    <col min="9" max="9" width="26.5703125" style="99" customWidth="1"/>
    <col min="10" max="16384" width="8.85546875" style="99"/>
  </cols>
  <sheetData>
    <row r="1" spans="1:9" ht="28.9">
      <c r="A1" s="5" t="s">
        <v>0</v>
      </c>
      <c r="B1" s="12" t="s">
        <v>1</v>
      </c>
      <c r="C1" s="6" t="s">
        <v>2</v>
      </c>
      <c r="D1" s="6" t="s">
        <v>3</v>
      </c>
      <c r="E1" s="6" t="s">
        <v>4</v>
      </c>
      <c r="F1" s="6" t="s">
        <v>5</v>
      </c>
      <c r="G1" s="6" t="s">
        <v>6</v>
      </c>
      <c r="H1" s="6" t="s">
        <v>7</v>
      </c>
      <c r="I1" s="7" t="s">
        <v>9</v>
      </c>
    </row>
    <row r="2" spans="1:9" ht="57.6">
      <c r="A2" s="104" t="s">
        <v>10</v>
      </c>
      <c r="B2" s="16" t="s">
        <v>11</v>
      </c>
      <c r="C2" s="20" t="s">
        <v>140</v>
      </c>
      <c r="D2" s="2" t="s">
        <v>452</v>
      </c>
      <c r="E2" s="103" t="s">
        <v>453</v>
      </c>
      <c r="F2" s="103" t="s">
        <v>256</v>
      </c>
      <c r="G2" s="103" t="s">
        <v>154</v>
      </c>
      <c r="H2" s="103" t="s">
        <v>454</v>
      </c>
      <c r="I2" s="104"/>
    </row>
    <row r="3" spans="1:9" ht="57.6">
      <c r="A3" s="104" t="s">
        <v>10</v>
      </c>
      <c r="B3" s="16" t="s">
        <v>19</v>
      </c>
      <c r="C3" s="20" t="s">
        <v>20</v>
      </c>
      <c r="D3" s="2" t="s">
        <v>455</v>
      </c>
      <c r="E3" s="103" t="s">
        <v>453</v>
      </c>
      <c r="F3" s="103" t="s">
        <v>256</v>
      </c>
      <c r="G3" s="103" t="s">
        <v>154</v>
      </c>
      <c r="H3" s="103" t="s">
        <v>456</v>
      </c>
      <c r="I3" s="104"/>
    </row>
    <row r="4" spans="1:9" ht="28.9">
      <c r="A4" s="104" t="s">
        <v>10</v>
      </c>
      <c r="B4" s="16" t="s">
        <v>23</v>
      </c>
      <c r="C4" s="20" t="s">
        <v>24</v>
      </c>
      <c r="D4" s="2" t="s">
        <v>41</v>
      </c>
      <c r="E4" s="103" t="s">
        <v>453</v>
      </c>
      <c r="F4" s="103" t="s">
        <v>256</v>
      </c>
      <c r="G4" s="103" t="s">
        <v>154</v>
      </c>
      <c r="H4" s="103" t="s">
        <v>413</v>
      </c>
      <c r="I4" s="104"/>
    </row>
    <row r="5" spans="1:9" ht="43.15">
      <c r="A5" s="104" t="s">
        <v>10</v>
      </c>
      <c r="B5" s="16" t="s">
        <v>414</v>
      </c>
      <c r="C5" s="20" t="s">
        <v>415</v>
      </c>
      <c r="D5" s="2" t="s">
        <v>416</v>
      </c>
      <c r="E5" s="103" t="s">
        <v>453</v>
      </c>
      <c r="F5" s="103" t="s">
        <v>256</v>
      </c>
      <c r="G5" s="103" t="s">
        <v>154</v>
      </c>
      <c r="H5" s="103" t="s">
        <v>417</v>
      </c>
      <c r="I5" s="104"/>
    </row>
  </sheetData>
  <autoFilter ref="A1:H4" xr:uid="{8E9D7E18-A9B3-4191-9DBB-B80908E44EFC}">
    <sortState xmlns:xlrd2="http://schemas.microsoft.com/office/spreadsheetml/2017/richdata2" ref="A2:H4">
      <sortCondition ref="E1:E4"/>
    </sortState>
  </autoFilter>
  <pageMargins left="0.7" right="0.7" top="0.75" bottom="0.75" header="0.3" footer="0.3"/>
  <pageSetup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C1CEA-D3C8-4379-84C4-4A9068E994C7}">
  <dimension ref="A1:J22"/>
  <sheetViews>
    <sheetView topLeftCell="A5" workbookViewId="0">
      <selection activeCell="H6" sqref="H6"/>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c r="A2" s="103" t="s">
        <v>96</v>
      </c>
      <c r="B2" s="13" t="s">
        <v>28</v>
      </c>
      <c r="C2" s="103" t="s">
        <v>29</v>
      </c>
      <c r="D2" s="2">
        <v>34.1</v>
      </c>
      <c r="E2" s="103" t="s">
        <v>457</v>
      </c>
      <c r="F2" s="103" t="s">
        <v>15</v>
      </c>
      <c r="G2" s="103" t="s">
        <v>134</v>
      </c>
      <c r="H2" s="103" t="s">
        <v>458</v>
      </c>
      <c r="I2" s="103" t="s">
        <v>136</v>
      </c>
      <c r="J2" s="104"/>
    </row>
    <row r="3" spans="1:10" ht="28.9">
      <c r="A3" s="103" t="s">
        <v>96</v>
      </c>
      <c r="B3" s="13" t="s">
        <v>35</v>
      </c>
      <c r="C3" s="103" t="s">
        <v>36</v>
      </c>
      <c r="D3" s="2">
        <v>34.1</v>
      </c>
      <c r="E3" s="103" t="s">
        <v>457</v>
      </c>
      <c r="F3" s="103" t="s">
        <v>15</v>
      </c>
      <c r="G3" s="103" t="s">
        <v>134</v>
      </c>
      <c r="H3" s="103" t="s">
        <v>137</v>
      </c>
      <c r="I3" s="103" t="s">
        <v>136</v>
      </c>
      <c r="J3" s="104"/>
    </row>
    <row r="4" spans="1:10" ht="28.9">
      <c r="A4" s="103" t="s">
        <v>96</v>
      </c>
      <c r="B4" s="13" t="s">
        <v>43</v>
      </c>
      <c r="C4" s="103" t="s">
        <v>44</v>
      </c>
      <c r="D4" s="2" t="s">
        <v>158</v>
      </c>
      <c r="E4" s="103" t="s">
        <v>457</v>
      </c>
      <c r="F4" s="103" t="s">
        <v>15</v>
      </c>
      <c r="G4" s="103" t="s">
        <v>134</v>
      </c>
      <c r="H4" s="103" t="s">
        <v>237</v>
      </c>
      <c r="I4" s="103" t="s">
        <v>136</v>
      </c>
      <c r="J4" s="104"/>
    </row>
    <row r="5" spans="1:10" ht="75">
      <c r="A5" s="103" t="s">
        <v>96</v>
      </c>
      <c r="B5" s="13" t="s">
        <v>47</v>
      </c>
      <c r="C5" s="103" t="s">
        <v>95</v>
      </c>
      <c r="D5" s="24" t="s">
        <v>49</v>
      </c>
      <c r="E5" s="103" t="s">
        <v>457</v>
      </c>
      <c r="F5" s="103" t="s">
        <v>15</v>
      </c>
      <c r="G5" s="103" t="s">
        <v>134</v>
      </c>
      <c r="H5" s="29" t="s">
        <v>50</v>
      </c>
      <c r="I5" s="103" t="s">
        <v>136</v>
      </c>
      <c r="J5" s="104"/>
    </row>
    <row r="6" spans="1:10" ht="75" customHeight="1">
      <c r="A6" s="103" t="s">
        <v>96</v>
      </c>
      <c r="B6" s="13" t="s">
        <v>51</v>
      </c>
      <c r="C6" s="103" t="s">
        <v>52</v>
      </c>
      <c r="D6" s="2" t="s">
        <v>449</v>
      </c>
      <c r="E6" s="103" t="s">
        <v>457</v>
      </c>
      <c r="F6" s="103" t="s">
        <v>15</v>
      </c>
      <c r="G6" s="103" t="s">
        <v>134</v>
      </c>
      <c r="H6" s="23" t="s">
        <v>240</v>
      </c>
      <c r="I6" s="103" t="s">
        <v>136</v>
      </c>
      <c r="J6" s="104"/>
    </row>
    <row r="8" spans="1:10">
      <c r="A8" s="103"/>
      <c r="C8" s="103"/>
      <c r="D8" s="30" t="s">
        <v>241</v>
      </c>
      <c r="E8"/>
      <c r="F8"/>
      <c r="G8"/>
      <c r="H8" s="103"/>
      <c r="I8" s="103"/>
      <c r="J8" s="104"/>
    </row>
    <row r="9" spans="1:10">
      <c r="A9" s="103"/>
      <c r="C9" s="103"/>
      <c r="D9" t="s">
        <v>169</v>
      </c>
      <c r="E9" t="s">
        <v>242</v>
      </c>
      <c r="F9" t="s">
        <v>243</v>
      </c>
      <c r="G9"/>
      <c r="H9" s="103"/>
      <c r="I9" s="103"/>
      <c r="J9" s="104"/>
    </row>
    <row r="10" spans="1:10">
      <c r="A10" s="103"/>
      <c r="C10" s="103"/>
      <c r="D10" t="s">
        <v>244</v>
      </c>
      <c r="E10">
        <v>3.5</v>
      </c>
      <c r="F10">
        <v>5.6</v>
      </c>
      <c r="G10"/>
      <c r="H10" s="103"/>
      <c r="I10" s="103"/>
      <c r="J10" s="104"/>
    </row>
    <row r="11" spans="1:10">
      <c r="A11" s="103"/>
      <c r="C11" s="103"/>
      <c r="D11">
        <v>0.01</v>
      </c>
      <c r="E11">
        <v>14.1</v>
      </c>
      <c r="F11">
        <v>23.5</v>
      </c>
      <c r="G11">
        <f t="shared" ref="G11:G20" si="0">AVERAGE(E11:F11)</f>
        <v>18.8</v>
      </c>
      <c r="H11" s="103"/>
      <c r="I11" s="103"/>
      <c r="J11" s="104"/>
    </row>
    <row r="12" spans="1:10">
      <c r="A12" s="103"/>
      <c r="C12" s="103"/>
      <c r="D12">
        <v>2.5000000000000001E-2</v>
      </c>
      <c r="E12">
        <v>19.8</v>
      </c>
      <c r="F12">
        <v>28.4</v>
      </c>
      <c r="G12">
        <f t="shared" si="0"/>
        <v>24.1</v>
      </c>
      <c r="H12" s="103"/>
      <c r="I12" s="103"/>
      <c r="J12" s="104"/>
    </row>
    <row r="13" spans="1:10">
      <c r="A13" s="103"/>
      <c r="C13" s="103"/>
      <c r="D13">
        <v>0.05</v>
      </c>
      <c r="E13">
        <v>23.9</v>
      </c>
      <c r="F13">
        <v>33.299999999999997</v>
      </c>
      <c r="G13">
        <f t="shared" si="0"/>
        <v>28.599999999999998</v>
      </c>
      <c r="H13" s="103"/>
      <c r="I13" s="103"/>
      <c r="J13" s="104"/>
    </row>
    <row r="14" spans="1:10">
      <c r="A14" s="103"/>
      <c r="C14" s="103"/>
      <c r="D14">
        <v>0.1</v>
      </c>
      <c r="E14">
        <v>29.3</v>
      </c>
      <c r="F14">
        <v>39.9</v>
      </c>
      <c r="G14">
        <f t="shared" si="0"/>
        <v>34.6</v>
      </c>
      <c r="H14" s="103"/>
      <c r="I14" s="103"/>
      <c r="J14" s="104"/>
    </row>
    <row r="15" spans="1:10">
      <c r="A15" s="103"/>
      <c r="C15" s="103"/>
      <c r="D15">
        <v>0.25</v>
      </c>
      <c r="E15">
        <v>40.200000000000003</v>
      </c>
      <c r="F15">
        <v>51.6</v>
      </c>
      <c r="G15">
        <f t="shared" si="0"/>
        <v>45.900000000000006</v>
      </c>
      <c r="H15" s="103"/>
      <c r="I15" s="103"/>
      <c r="J15" s="104"/>
    </row>
    <row r="16" spans="1:10">
      <c r="A16" s="103"/>
      <c r="C16" s="103"/>
      <c r="D16">
        <v>0.5</v>
      </c>
      <c r="E16">
        <v>54.3</v>
      </c>
      <c r="F16">
        <v>67</v>
      </c>
      <c r="G16">
        <f t="shared" si="0"/>
        <v>60.65</v>
      </c>
      <c r="H16" s="103"/>
      <c r="I16" s="103"/>
      <c r="J16" s="104"/>
    </row>
    <row r="17" spans="4:7">
      <c r="D17">
        <v>0.75</v>
      </c>
      <c r="E17">
        <v>71.3</v>
      </c>
      <c r="F17">
        <v>84.7</v>
      </c>
      <c r="G17">
        <f t="shared" si="0"/>
        <v>78</v>
      </c>
    </row>
    <row r="18" spans="4:7">
      <c r="D18">
        <v>0.9</v>
      </c>
      <c r="E18">
        <v>91.5</v>
      </c>
      <c r="F18">
        <v>104.6</v>
      </c>
      <c r="G18">
        <f t="shared" si="0"/>
        <v>98.05</v>
      </c>
    </row>
    <row r="19" spans="4:7">
      <c r="D19">
        <v>0.95</v>
      </c>
      <c r="E19">
        <v>104.7</v>
      </c>
      <c r="F19">
        <v>120</v>
      </c>
      <c r="G19">
        <f t="shared" si="0"/>
        <v>112.35</v>
      </c>
    </row>
    <row r="20" spans="4:7">
      <c r="D20">
        <v>0.99</v>
      </c>
      <c r="E20">
        <v>133.6</v>
      </c>
      <c r="F20">
        <v>154</v>
      </c>
      <c r="G20">
        <f t="shared" si="0"/>
        <v>143.80000000000001</v>
      </c>
    </row>
    <row r="21" spans="4:7">
      <c r="D21" t="s">
        <v>245</v>
      </c>
      <c r="E21">
        <v>221.7</v>
      </c>
      <c r="F21">
        <v>314.5</v>
      </c>
      <c r="G21"/>
    </row>
    <row r="22" spans="4:7">
      <c r="D22" t="s">
        <v>246</v>
      </c>
      <c r="E22">
        <v>58</v>
      </c>
      <c r="F22">
        <v>70.400000000000006</v>
      </c>
      <c r="G22">
        <f>AVERAGE(G11:G20)</f>
        <v>64.484999999999985</v>
      </c>
    </row>
  </sheetData>
  <autoFilter ref="A1:I6" xr:uid="{8E9D7E18-A9B3-4191-9DBB-B80908E44EFC}">
    <sortState xmlns:xlrd2="http://schemas.microsoft.com/office/spreadsheetml/2017/richdata2" ref="A2:I6">
      <sortCondition ref="E1:E6"/>
    </sortState>
  </autoFilter>
  <pageMargins left="0.7" right="0.7" top="0.75" bottom="0.75" header="0.3" footer="0.3"/>
  <pageSetup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511B95-30E5-4CAB-95AD-B9FA33D98229}">
  <dimension ref="A1:J4"/>
  <sheetViews>
    <sheetView workbookViewId="0">
      <selection activeCell="H2" sqref="H2"/>
    </sheetView>
  </sheetViews>
  <sheetFormatPr defaultColWidth="8.85546875" defaultRowHeight="14.45"/>
  <cols>
    <col min="1" max="1" width="15.140625" style="94" customWidth="1"/>
    <col min="2" max="2" width="8.85546875" style="13" customWidth="1"/>
    <col min="3" max="3" width="26.140625" style="94" customWidth="1"/>
    <col min="4" max="4" width="12.85546875" style="2" customWidth="1"/>
    <col min="5" max="5" width="18" style="94" customWidth="1"/>
    <col min="6" max="6" width="23.5703125" style="94" customWidth="1"/>
    <col min="7" max="7" width="13.85546875" style="94" customWidth="1"/>
    <col min="8" max="8" width="83.5703125" style="94" customWidth="1"/>
    <col min="9" max="9" width="51.140625" style="94" customWidth="1"/>
    <col min="10" max="10" width="26.5703125" style="95" customWidth="1"/>
    <col min="11" max="16384" width="8.85546875" style="95"/>
  </cols>
  <sheetData>
    <row r="1" spans="1:10" ht="28.9">
      <c r="A1" s="5" t="s">
        <v>0</v>
      </c>
      <c r="B1" s="12" t="s">
        <v>1</v>
      </c>
      <c r="C1" s="6" t="s">
        <v>2</v>
      </c>
      <c r="D1" s="6" t="s">
        <v>3</v>
      </c>
      <c r="E1" s="6" t="s">
        <v>4</v>
      </c>
      <c r="F1" s="6" t="s">
        <v>5</v>
      </c>
      <c r="G1" s="6" t="s">
        <v>6</v>
      </c>
      <c r="H1" s="6" t="s">
        <v>7</v>
      </c>
      <c r="I1" s="7" t="s">
        <v>8</v>
      </c>
      <c r="J1" s="7" t="s">
        <v>9</v>
      </c>
    </row>
    <row r="2" spans="1:10" ht="30.75">
      <c r="A2" s="103" t="s">
        <v>10</v>
      </c>
      <c r="B2" s="13" t="s">
        <v>247</v>
      </c>
      <c r="C2" s="9" t="s">
        <v>12</v>
      </c>
      <c r="D2" s="11" t="s">
        <v>459</v>
      </c>
      <c r="E2" s="9" t="s">
        <v>460</v>
      </c>
      <c r="F2" s="9" t="s">
        <v>250</v>
      </c>
      <c r="G2" s="9" t="s">
        <v>134</v>
      </c>
      <c r="H2" s="9" t="s">
        <v>461</v>
      </c>
      <c r="I2" s="103" t="s">
        <v>136</v>
      </c>
      <c r="J2" s="104"/>
    </row>
    <row r="3" spans="1:10" ht="28.9">
      <c r="A3" s="103" t="s">
        <v>10</v>
      </c>
      <c r="B3" s="13" t="s">
        <v>19</v>
      </c>
      <c r="C3" s="9" t="s">
        <v>20</v>
      </c>
      <c r="D3" s="11" t="s">
        <v>252</v>
      </c>
      <c r="E3" s="9" t="s">
        <v>462</v>
      </c>
      <c r="F3" s="103" t="s">
        <v>250</v>
      </c>
      <c r="G3" s="9" t="s">
        <v>134</v>
      </c>
      <c r="H3" s="103" t="s">
        <v>253</v>
      </c>
      <c r="I3" s="103" t="s">
        <v>136</v>
      </c>
      <c r="J3" s="104"/>
    </row>
    <row r="4" spans="1:10" ht="28.9">
      <c r="A4" s="103" t="s">
        <v>10</v>
      </c>
      <c r="B4" s="13" t="s">
        <v>23</v>
      </c>
      <c r="C4" s="9" t="s">
        <v>24</v>
      </c>
      <c r="D4" s="11" t="s">
        <v>41</v>
      </c>
      <c r="E4" s="9" t="s">
        <v>463</v>
      </c>
      <c r="F4" s="103" t="s">
        <v>250</v>
      </c>
      <c r="G4" s="9" t="s">
        <v>134</v>
      </c>
      <c r="H4" s="103" t="s">
        <v>254</v>
      </c>
      <c r="I4" s="103" t="s">
        <v>136</v>
      </c>
      <c r="J4" s="104"/>
    </row>
  </sheetData>
  <autoFilter ref="A1:I4" xr:uid="{8E9D7E18-A9B3-4191-9DBB-B80908E44EFC}">
    <sortState xmlns:xlrd2="http://schemas.microsoft.com/office/spreadsheetml/2017/richdata2" ref="A2:I4">
      <sortCondition ref="E1:E4"/>
    </sortState>
  </autoFilter>
  <phoneticPr fontId="18" type="noConversion"/>
  <pageMargins left="0.7" right="0.7" top="0.75" bottom="0.75" header="0.3" footer="0.3"/>
  <pageSetup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E9354F-706B-491C-9A2D-B3DBC1C2B53E}">
  <dimension ref="A1:L32"/>
  <sheetViews>
    <sheetView topLeftCell="A3" workbookViewId="0">
      <selection activeCell="F6" sqref="F6"/>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2" ht="28.9">
      <c r="A1" s="5" t="s">
        <v>0</v>
      </c>
      <c r="B1" s="12" t="s">
        <v>1</v>
      </c>
      <c r="C1" s="6" t="s">
        <v>2</v>
      </c>
      <c r="D1" s="6" t="s">
        <v>3</v>
      </c>
      <c r="E1" s="6" t="s">
        <v>4</v>
      </c>
      <c r="F1" s="6" t="s">
        <v>5</v>
      </c>
      <c r="G1" s="6" t="s">
        <v>6</v>
      </c>
      <c r="H1" s="6" t="s">
        <v>7</v>
      </c>
      <c r="I1" s="7" t="s">
        <v>8</v>
      </c>
      <c r="J1" s="7" t="s">
        <v>9</v>
      </c>
      <c r="K1" s="104"/>
      <c r="L1" s="104"/>
    </row>
    <row r="2" spans="1:12" ht="28.9">
      <c r="A2" s="104" t="s">
        <v>96</v>
      </c>
      <c r="B2" s="16" t="s">
        <v>28</v>
      </c>
      <c r="C2" s="103" t="s">
        <v>29</v>
      </c>
      <c r="D2" s="2">
        <v>67</v>
      </c>
      <c r="E2" s="103" t="s">
        <v>464</v>
      </c>
      <c r="F2" s="103" t="s">
        <v>15</v>
      </c>
      <c r="G2" s="103" t="s">
        <v>154</v>
      </c>
      <c r="H2" s="103" t="s">
        <v>465</v>
      </c>
      <c r="I2" s="104" t="s">
        <v>466</v>
      </c>
      <c r="J2" s="104"/>
      <c r="K2" s="104"/>
      <c r="L2" s="104"/>
    </row>
    <row r="3" spans="1:12" ht="28.9">
      <c r="A3" s="104" t="s">
        <v>96</v>
      </c>
      <c r="B3" s="16" t="s">
        <v>35</v>
      </c>
      <c r="C3" s="103" t="s">
        <v>36</v>
      </c>
      <c r="D3" s="2">
        <v>67</v>
      </c>
      <c r="E3" s="103" t="s">
        <v>464</v>
      </c>
      <c r="F3" s="103" t="s">
        <v>15</v>
      </c>
      <c r="G3" s="103" t="s">
        <v>154</v>
      </c>
      <c r="H3" s="103" t="s">
        <v>137</v>
      </c>
      <c r="I3" s="104" t="s">
        <v>466</v>
      </c>
      <c r="J3" s="104"/>
      <c r="K3" s="104"/>
      <c r="L3" s="104"/>
    </row>
    <row r="4" spans="1:12" ht="28.9">
      <c r="A4" s="104" t="s">
        <v>96</v>
      </c>
      <c r="B4" s="16" t="s">
        <v>43</v>
      </c>
      <c r="C4" s="103" t="s">
        <v>44</v>
      </c>
      <c r="D4" s="3" t="s">
        <v>158</v>
      </c>
      <c r="E4" s="103" t="s">
        <v>464</v>
      </c>
      <c r="F4" s="103" t="s">
        <v>15</v>
      </c>
      <c r="G4" s="103" t="s">
        <v>154</v>
      </c>
      <c r="H4" s="103" t="s">
        <v>237</v>
      </c>
      <c r="I4" s="104" t="s">
        <v>466</v>
      </c>
      <c r="J4" s="104"/>
      <c r="K4" s="104"/>
      <c r="L4" s="104"/>
    </row>
    <row r="5" spans="1:12" ht="75">
      <c r="A5" s="104" t="s">
        <v>96</v>
      </c>
      <c r="B5" s="16" t="s">
        <v>47</v>
      </c>
      <c r="C5" s="103" t="s">
        <v>95</v>
      </c>
      <c r="D5" s="45" t="s">
        <v>49</v>
      </c>
      <c r="E5" s="104" t="s">
        <v>464</v>
      </c>
      <c r="F5" s="104" t="s">
        <v>15</v>
      </c>
      <c r="G5" s="103" t="s">
        <v>154</v>
      </c>
      <c r="H5" s="29" t="s">
        <v>50</v>
      </c>
      <c r="I5" s="104" t="s">
        <v>466</v>
      </c>
      <c r="J5" s="104"/>
      <c r="K5" s="104"/>
      <c r="L5" s="104"/>
    </row>
    <row r="6" spans="1:12" ht="57.6">
      <c r="A6" s="104" t="s">
        <v>96</v>
      </c>
      <c r="B6" s="16" t="s">
        <v>51</v>
      </c>
      <c r="C6" s="103" t="s">
        <v>52</v>
      </c>
      <c r="D6" s="15" t="s">
        <v>239</v>
      </c>
      <c r="E6" s="104" t="s">
        <v>464</v>
      </c>
      <c r="F6" s="104" t="s">
        <v>15</v>
      </c>
      <c r="G6" s="103" t="s">
        <v>154</v>
      </c>
      <c r="H6" s="23" t="s">
        <v>240</v>
      </c>
      <c r="I6" s="104" t="s">
        <v>466</v>
      </c>
      <c r="J6" s="104"/>
      <c r="K6" s="104"/>
      <c r="L6" s="104"/>
    </row>
    <row r="8" spans="1:12">
      <c r="A8" t="s">
        <v>374</v>
      </c>
      <c r="B8" t="s">
        <v>467</v>
      </c>
      <c r="C8"/>
      <c r="D8" t="s">
        <v>468</v>
      </c>
      <c r="E8" t="s">
        <v>469</v>
      </c>
      <c r="F8"/>
      <c r="G8"/>
      <c r="H8" t="s">
        <v>181</v>
      </c>
      <c r="I8"/>
      <c r="J8" t="s">
        <v>470</v>
      </c>
      <c r="K8" t="s">
        <v>471</v>
      </c>
      <c r="L8"/>
    </row>
    <row r="9" spans="1:12">
      <c r="A9">
        <v>22</v>
      </c>
      <c r="B9">
        <v>0.05</v>
      </c>
      <c r="C9">
        <v>0.5</v>
      </c>
      <c r="D9">
        <f>B9*$J$9+C9*$K$9</f>
        <v>53894.75</v>
      </c>
      <c r="E9">
        <f>B9*$J$9</f>
        <v>450.75</v>
      </c>
      <c r="F9"/>
      <c r="G9"/>
      <c r="H9">
        <f>$A9*$E9/$E$14</f>
        <v>1.1000000000000001</v>
      </c>
      <c r="I9"/>
      <c r="J9">
        <v>9015</v>
      </c>
      <c r="K9">
        <v>106888</v>
      </c>
      <c r="L9">
        <f>J9+K9</f>
        <v>115903</v>
      </c>
    </row>
    <row r="10" spans="1:12">
      <c r="A10">
        <v>37</v>
      </c>
      <c r="B10">
        <v>0.08</v>
      </c>
      <c r="C10">
        <v>0.27</v>
      </c>
      <c r="D10">
        <f>B10*$J$9+C10*$K$9</f>
        <v>29580.960000000003</v>
      </c>
      <c r="E10">
        <f t="shared" ref="E10:E13" si="0">B10*$J$9</f>
        <v>721.2</v>
      </c>
      <c r="F10"/>
      <c r="G10"/>
      <c r="H10">
        <f t="shared" ref="H10:H13" si="1">$A10*$E10/$E$14</f>
        <v>2.96</v>
      </c>
      <c r="I10"/>
      <c r="J10"/>
      <c r="K10"/>
      <c r="L10"/>
    </row>
    <row r="11" spans="1:12">
      <c r="A11">
        <v>52</v>
      </c>
      <c r="B11">
        <v>0.27</v>
      </c>
      <c r="C11">
        <v>0.17</v>
      </c>
      <c r="D11">
        <f t="shared" ref="D11:D13" si="2">B11*$J$9+C11*$K$9</f>
        <v>20605.010000000002</v>
      </c>
      <c r="E11">
        <f t="shared" si="0"/>
        <v>2434.0500000000002</v>
      </c>
      <c r="F11"/>
      <c r="G11"/>
      <c r="H11">
        <f t="shared" si="1"/>
        <v>14.040000000000001</v>
      </c>
      <c r="I11"/>
      <c r="J11"/>
      <c r="K11"/>
      <c r="L11"/>
    </row>
    <row r="12" spans="1:12">
      <c r="A12">
        <v>67</v>
      </c>
      <c r="B12">
        <v>0.42</v>
      </c>
      <c r="C12">
        <v>0.06</v>
      </c>
      <c r="D12">
        <f t="shared" si="2"/>
        <v>10199.58</v>
      </c>
      <c r="E12">
        <f t="shared" si="0"/>
        <v>3786.2999999999997</v>
      </c>
      <c r="F12"/>
      <c r="G12"/>
      <c r="H12">
        <f t="shared" si="1"/>
        <v>28.139999999999997</v>
      </c>
      <c r="I12"/>
      <c r="J12"/>
      <c r="K12"/>
      <c r="L12"/>
    </row>
    <row r="13" spans="1:12">
      <c r="A13">
        <v>82</v>
      </c>
      <c r="B13">
        <v>0.18</v>
      </c>
      <c r="C13">
        <v>0.01</v>
      </c>
      <c r="D13">
        <f t="shared" si="2"/>
        <v>2691.58</v>
      </c>
      <c r="E13">
        <f t="shared" si="0"/>
        <v>1622.7</v>
      </c>
      <c r="F13"/>
      <c r="G13"/>
      <c r="H13">
        <f t="shared" si="1"/>
        <v>14.76</v>
      </c>
      <c r="I13"/>
      <c r="J13"/>
      <c r="K13"/>
      <c r="L13"/>
    </row>
    <row r="14" spans="1:12">
      <c r="A14"/>
      <c r="B14"/>
      <c r="C14"/>
      <c r="D14">
        <f>SUM(D9:D13)</f>
        <v>116971.88</v>
      </c>
      <c r="E14">
        <f>SUM(E9:E13)</f>
        <v>9015</v>
      </c>
      <c r="F14" t="s">
        <v>376</v>
      </c>
      <c r="G14"/>
      <c r="H14">
        <f>SUM(H9:H13)</f>
        <v>60.999999999999993</v>
      </c>
      <c r="I14"/>
      <c r="J14"/>
      <c r="K14"/>
      <c r="L14"/>
    </row>
    <row r="15" spans="1:12">
      <c r="A15"/>
      <c r="B15"/>
      <c r="C15"/>
      <c r="D15"/>
      <c r="E15"/>
      <c r="F15"/>
      <c r="G15"/>
      <c r="H15"/>
      <c r="I15"/>
      <c r="J15"/>
      <c r="K15"/>
      <c r="L15"/>
    </row>
    <row r="16" spans="1:12">
      <c r="A16"/>
      <c r="B16"/>
      <c r="C16"/>
      <c r="D16"/>
      <c r="E16"/>
      <c r="F16"/>
      <c r="G16"/>
      <c r="H16"/>
      <c r="I16"/>
      <c r="J16"/>
      <c r="K16"/>
      <c r="L16"/>
    </row>
    <row r="17" spans="1:12">
      <c r="A17"/>
      <c r="B17"/>
      <c r="C17"/>
      <c r="D17"/>
      <c r="E17"/>
      <c r="F17"/>
      <c r="G17"/>
      <c r="H17"/>
      <c r="I17"/>
      <c r="J17"/>
      <c r="K17"/>
      <c r="L17"/>
    </row>
    <row r="18" spans="1:12">
      <c r="A18" s="30" t="s">
        <v>241</v>
      </c>
      <c r="B18"/>
      <c r="C18"/>
      <c r="D18"/>
      <c r="E18"/>
      <c r="F18"/>
      <c r="G18"/>
      <c r="H18"/>
      <c r="I18"/>
      <c r="J18"/>
      <c r="K18"/>
      <c r="L18"/>
    </row>
    <row r="19" spans="1:12">
      <c r="A19" t="s">
        <v>169</v>
      </c>
      <c r="B19" t="s">
        <v>242</v>
      </c>
      <c r="C19" t="s">
        <v>243</v>
      </c>
      <c r="D19"/>
      <c r="E19"/>
      <c r="F19"/>
      <c r="G19"/>
      <c r="H19"/>
      <c r="I19"/>
      <c r="J19"/>
      <c r="K19"/>
      <c r="L19"/>
    </row>
    <row r="20" spans="1:12">
      <c r="A20" t="s">
        <v>244</v>
      </c>
      <c r="B20">
        <v>3.5</v>
      </c>
      <c r="C20">
        <v>5.6</v>
      </c>
      <c r="D20"/>
      <c r="E20"/>
      <c r="F20"/>
      <c r="G20"/>
      <c r="H20"/>
      <c r="I20"/>
      <c r="J20"/>
      <c r="K20"/>
      <c r="L20"/>
    </row>
    <row r="21" spans="1:12">
      <c r="A21">
        <v>0.01</v>
      </c>
      <c r="B21">
        <v>14.1</v>
      </c>
      <c r="C21">
        <v>23.5</v>
      </c>
      <c r="D21">
        <f>AVERAGE(B21:C21)</f>
        <v>18.8</v>
      </c>
      <c r="E21"/>
      <c r="F21"/>
      <c r="G21"/>
      <c r="H21"/>
      <c r="I21"/>
      <c r="J21"/>
      <c r="K21"/>
      <c r="L21"/>
    </row>
    <row r="22" spans="1:12">
      <c r="A22">
        <v>2.5000000000000001E-2</v>
      </c>
      <c r="B22">
        <v>19.8</v>
      </c>
      <c r="C22">
        <v>28.4</v>
      </c>
      <c r="D22">
        <f t="shared" ref="D22:D30" si="3">AVERAGE(B22:C22)</f>
        <v>24.1</v>
      </c>
      <c r="E22"/>
      <c r="F22"/>
      <c r="G22"/>
      <c r="H22"/>
      <c r="I22"/>
      <c r="J22"/>
      <c r="K22"/>
      <c r="L22"/>
    </row>
    <row r="23" spans="1:12">
      <c r="A23">
        <v>0.05</v>
      </c>
      <c r="B23">
        <v>23.9</v>
      </c>
      <c r="C23">
        <v>33.299999999999997</v>
      </c>
      <c r="D23">
        <f t="shared" si="3"/>
        <v>28.599999999999998</v>
      </c>
      <c r="E23"/>
      <c r="F23"/>
      <c r="G23"/>
      <c r="H23"/>
      <c r="I23"/>
      <c r="J23"/>
      <c r="K23"/>
      <c r="L23"/>
    </row>
    <row r="24" spans="1:12">
      <c r="A24">
        <v>0.1</v>
      </c>
      <c r="B24">
        <v>29.3</v>
      </c>
      <c r="C24">
        <v>39.9</v>
      </c>
      <c r="D24">
        <f t="shared" si="3"/>
        <v>34.6</v>
      </c>
      <c r="E24"/>
      <c r="F24"/>
      <c r="G24"/>
      <c r="H24"/>
      <c r="I24"/>
      <c r="J24"/>
      <c r="K24"/>
      <c r="L24"/>
    </row>
    <row r="25" spans="1:12">
      <c r="A25">
        <v>0.25</v>
      </c>
      <c r="B25">
        <v>40.200000000000003</v>
      </c>
      <c r="C25">
        <v>51.6</v>
      </c>
      <c r="D25">
        <f t="shared" si="3"/>
        <v>45.900000000000006</v>
      </c>
      <c r="E25"/>
      <c r="F25"/>
      <c r="G25"/>
      <c r="H25"/>
      <c r="I25"/>
      <c r="J25"/>
      <c r="K25"/>
      <c r="L25"/>
    </row>
    <row r="26" spans="1:12">
      <c r="A26">
        <v>0.5</v>
      </c>
      <c r="B26">
        <v>54.3</v>
      </c>
      <c r="C26">
        <v>67</v>
      </c>
      <c r="D26">
        <f t="shared" si="3"/>
        <v>60.65</v>
      </c>
      <c r="E26"/>
      <c r="F26"/>
      <c r="G26"/>
      <c r="H26"/>
      <c r="I26"/>
      <c r="J26"/>
      <c r="K26"/>
      <c r="L26"/>
    </row>
    <row r="27" spans="1:12">
      <c r="A27">
        <v>0.75</v>
      </c>
      <c r="B27">
        <v>71.3</v>
      </c>
      <c r="C27">
        <v>84.7</v>
      </c>
      <c r="D27">
        <f t="shared" si="3"/>
        <v>78</v>
      </c>
      <c r="E27"/>
      <c r="F27"/>
      <c r="G27"/>
      <c r="H27"/>
      <c r="I27"/>
      <c r="J27"/>
      <c r="K27"/>
      <c r="L27"/>
    </row>
    <row r="28" spans="1:12">
      <c r="A28">
        <v>0.9</v>
      </c>
      <c r="B28">
        <v>91.5</v>
      </c>
      <c r="C28">
        <v>104.6</v>
      </c>
      <c r="D28">
        <f t="shared" si="3"/>
        <v>98.05</v>
      </c>
      <c r="E28"/>
      <c r="F28"/>
      <c r="G28"/>
      <c r="H28"/>
      <c r="I28"/>
      <c r="J28"/>
      <c r="K28"/>
      <c r="L28"/>
    </row>
    <row r="29" spans="1:12">
      <c r="A29">
        <v>0.95</v>
      </c>
      <c r="B29">
        <v>104.7</v>
      </c>
      <c r="C29">
        <v>120</v>
      </c>
      <c r="D29">
        <f t="shared" si="3"/>
        <v>112.35</v>
      </c>
      <c r="E29"/>
      <c r="F29"/>
      <c r="G29"/>
      <c r="H29"/>
      <c r="I29"/>
      <c r="J29"/>
      <c r="K29"/>
      <c r="L29"/>
    </row>
    <row r="30" spans="1:12">
      <c r="A30">
        <v>0.99</v>
      </c>
      <c r="B30">
        <v>133.6</v>
      </c>
      <c r="C30">
        <v>154</v>
      </c>
      <c r="D30">
        <f t="shared" si="3"/>
        <v>143.80000000000001</v>
      </c>
      <c r="E30"/>
      <c r="F30"/>
      <c r="G30"/>
      <c r="H30"/>
      <c r="I30"/>
      <c r="J30"/>
      <c r="K30"/>
      <c r="L30"/>
    </row>
    <row r="31" spans="1:12">
      <c r="A31" t="s">
        <v>245</v>
      </c>
      <c r="B31">
        <v>221.7</v>
      </c>
      <c r="C31">
        <v>314.5</v>
      </c>
      <c r="D31"/>
      <c r="E31"/>
      <c r="F31"/>
      <c r="G31"/>
      <c r="H31"/>
      <c r="I31"/>
      <c r="J31"/>
      <c r="K31"/>
      <c r="L31"/>
    </row>
    <row r="32" spans="1:12">
      <c r="A32" t="s">
        <v>246</v>
      </c>
      <c r="B32">
        <v>58</v>
      </c>
      <c r="C32">
        <v>70.400000000000006</v>
      </c>
      <c r="D32">
        <f>AVERAGE(D21:D30)</f>
        <v>64.484999999999985</v>
      </c>
      <c r="E32"/>
      <c r="F32"/>
      <c r="G32"/>
      <c r="H32"/>
      <c r="I32"/>
      <c r="J32"/>
      <c r="K32"/>
      <c r="L32"/>
    </row>
  </sheetData>
  <autoFilter ref="A1:I6" xr:uid="{8E9D7E18-A9B3-4191-9DBB-B80908E44EFC}">
    <sortState xmlns:xlrd2="http://schemas.microsoft.com/office/spreadsheetml/2017/richdata2" ref="A2:I6">
      <sortCondition ref="E1:E6"/>
    </sortState>
  </autoFilter>
  <pageMargins left="0.7" right="0.7" top="0.75" bottom="0.75" header="0.3" footer="0.3"/>
  <pageSetup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31D57-6973-4315-8B7B-57043C6EE345}">
  <dimension ref="A1:J8"/>
  <sheetViews>
    <sheetView topLeftCell="A7" workbookViewId="0">
      <selection activeCell="C7" sqref="C7"/>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c r="A2" s="104" t="s">
        <v>87</v>
      </c>
      <c r="B2" s="16" t="s">
        <v>28</v>
      </c>
      <c r="C2" s="103" t="s">
        <v>29</v>
      </c>
      <c r="D2" s="2">
        <v>69.8</v>
      </c>
      <c r="E2" s="103" t="s">
        <v>472</v>
      </c>
      <c r="F2" s="103" t="s">
        <v>256</v>
      </c>
      <c r="G2" s="103" t="s">
        <v>32</v>
      </c>
      <c r="H2" s="103" t="s">
        <v>473</v>
      </c>
      <c r="I2" s="104" t="s">
        <v>474</v>
      </c>
      <c r="J2" s="104"/>
    </row>
    <row r="3" spans="1:10" ht="43.15">
      <c r="A3" s="104" t="s">
        <v>87</v>
      </c>
      <c r="B3" s="16" t="s">
        <v>35</v>
      </c>
      <c r="C3" s="103" t="s">
        <v>36</v>
      </c>
      <c r="D3" s="2">
        <v>23.2</v>
      </c>
      <c r="E3" s="103" t="s">
        <v>472</v>
      </c>
      <c r="F3" s="103" t="s">
        <v>256</v>
      </c>
      <c r="G3" s="103" t="s">
        <v>32</v>
      </c>
      <c r="H3" s="103" t="s">
        <v>475</v>
      </c>
      <c r="I3" s="104" t="s">
        <v>474</v>
      </c>
      <c r="J3" s="104"/>
    </row>
    <row r="4" spans="1:10" ht="28.9">
      <c r="A4" s="104" t="s">
        <v>87</v>
      </c>
      <c r="B4" s="16" t="s">
        <v>11</v>
      </c>
      <c r="C4" s="103" t="s">
        <v>12</v>
      </c>
      <c r="D4" s="2" t="s">
        <v>476</v>
      </c>
      <c r="E4" s="103" t="s">
        <v>472</v>
      </c>
      <c r="F4" s="103" t="s">
        <v>256</v>
      </c>
      <c r="G4" s="103" t="s">
        <v>32</v>
      </c>
      <c r="H4" s="103" t="s">
        <v>477</v>
      </c>
      <c r="I4" s="104" t="s">
        <v>474</v>
      </c>
      <c r="J4" s="104"/>
    </row>
    <row r="5" spans="1:10" ht="28.9">
      <c r="A5" s="104" t="s">
        <v>87</v>
      </c>
      <c r="B5" s="16" t="s">
        <v>23</v>
      </c>
      <c r="C5" s="103" t="s">
        <v>24</v>
      </c>
      <c r="D5" s="2" t="s">
        <v>41</v>
      </c>
      <c r="E5" s="103" t="s">
        <v>472</v>
      </c>
      <c r="F5" s="103" t="s">
        <v>256</v>
      </c>
      <c r="G5" s="103" t="s">
        <v>32</v>
      </c>
      <c r="H5" s="103" t="s">
        <v>42</v>
      </c>
      <c r="I5" s="104" t="s">
        <v>474</v>
      </c>
      <c r="J5" s="104"/>
    </row>
    <row r="6" spans="1:10" ht="28.9">
      <c r="A6" s="104" t="s">
        <v>87</v>
      </c>
      <c r="B6" s="16" t="s">
        <v>43</v>
      </c>
      <c r="C6" s="103" t="s">
        <v>44</v>
      </c>
      <c r="D6" s="4" t="s">
        <v>45</v>
      </c>
      <c r="E6" s="103" t="s">
        <v>472</v>
      </c>
      <c r="F6" s="103" t="s">
        <v>256</v>
      </c>
      <c r="G6" s="103" t="s">
        <v>32</v>
      </c>
      <c r="H6" s="103" t="s">
        <v>46</v>
      </c>
      <c r="I6" s="104" t="s">
        <v>474</v>
      </c>
      <c r="J6" s="104"/>
    </row>
    <row r="7" spans="1:10" ht="91.5">
      <c r="A7" s="104" t="s">
        <v>87</v>
      </c>
      <c r="B7" s="16" t="s">
        <v>47</v>
      </c>
      <c r="C7" s="103" t="s">
        <v>95</v>
      </c>
      <c r="D7" s="45" t="s">
        <v>49</v>
      </c>
      <c r="E7" s="103" t="s">
        <v>472</v>
      </c>
      <c r="F7" s="103" t="s">
        <v>256</v>
      </c>
      <c r="G7" s="103" t="s">
        <v>32</v>
      </c>
      <c r="H7" s="29" t="s">
        <v>50</v>
      </c>
      <c r="I7" s="104" t="s">
        <v>474</v>
      </c>
      <c r="J7" s="104"/>
    </row>
    <row r="8" spans="1:10" ht="102.75" customHeight="1">
      <c r="A8" s="104" t="s">
        <v>87</v>
      </c>
      <c r="B8" s="16" t="s">
        <v>51</v>
      </c>
      <c r="C8" s="103" t="s">
        <v>52</v>
      </c>
      <c r="D8" s="3" t="s">
        <v>53</v>
      </c>
      <c r="E8" s="103" t="s">
        <v>472</v>
      </c>
      <c r="F8" s="103" t="s">
        <v>256</v>
      </c>
      <c r="G8" s="103" t="s">
        <v>32</v>
      </c>
      <c r="H8" s="103" t="s">
        <v>54</v>
      </c>
      <c r="I8" s="104" t="s">
        <v>474</v>
      </c>
      <c r="J8" s="104"/>
    </row>
  </sheetData>
  <autoFilter ref="A1:I8" xr:uid="{8E9D7E18-A9B3-4191-9DBB-B80908E44EFC}">
    <sortState xmlns:xlrd2="http://schemas.microsoft.com/office/spreadsheetml/2017/richdata2" ref="A2:I8">
      <sortCondition ref="E1:E8"/>
    </sortState>
  </autoFilter>
  <pageMargins left="0.7" right="0.7" top="0.75" bottom="0.75" header="0.3" footer="0.3"/>
  <pageSetup orientation="portrait" r:id="rId1"/>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536A0-5645-484E-9B2B-BFC9CF68FD3D}">
  <dimension ref="A1:Q28"/>
  <sheetViews>
    <sheetView topLeftCell="A6" workbookViewId="0">
      <selection activeCell="E5" sqref="E5"/>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7" ht="28.9">
      <c r="A1" s="5" t="s">
        <v>0</v>
      </c>
      <c r="B1" s="12" t="s">
        <v>1</v>
      </c>
      <c r="C1" s="6" t="s">
        <v>2</v>
      </c>
      <c r="D1" s="6" t="s">
        <v>3</v>
      </c>
      <c r="E1" s="6" t="s">
        <v>4</v>
      </c>
      <c r="F1" s="6" t="s">
        <v>5</v>
      </c>
      <c r="G1" s="6" t="s">
        <v>6</v>
      </c>
      <c r="H1" s="6" t="s">
        <v>7</v>
      </c>
      <c r="I1" s="7" t="s">
        <v>8</v>
      </c>
      <c r="J1" s="7" t="s">
        <v>9</v>
      </c>
      <c r="K1" s="104"/>
      <c r="L1" s="104"/>
      <c r="M1" s="104"/>
      <c r="N1" s="104"/>
      <c r="O1" s="104"/>
      <c r="P1" s="104"/>
      <c r="Q1" s="104"/>
    </row>
    <row r="2" spans="1:17" ht="28.9">
      <c r="A2" s="104" t="s">
        <v>286</v>
      </c>
      <c r="B2" s="16" t="s">
        <v>28</v>
      </c>
      <c r="C2" s="103" t="s">
        <v>29</v>
      </c>
      <c r="D2" s="2">
        <v>66</v>
      </c>
      <c r="E2" s="103" t="s">
        <v>478</v>
      </c>
      <c r="F2" s="103" t="s">
        <v>280</v>
      </c>
      <c r="G2" s="103" t="s">
        <v>32</v>
      </c>
      <c r="H2" s="103" t="s">
        <v>479</v>
      </c>
      <c r="I2" s="104" t="s">
        <v>480</v>
      </c>
      <c r="J2" s="104"/>
      <c r="K2" s="104"/>
      <c r="L2" s="104"/>
      <c r="M2" s="104"/>
      <c r="N2" s="104"/>
      <c r="O2" s="104"/>
      <c r="P2" s="104"/>
      <c r="Q2" s="104"/>
    </row>
    <row r="3" spans="1:17" ht="28.9">
      <c r="A3" s="104" t="s">
        <v>286</v>
      </c>
      <c r="B3" s="16" t="s">
        <v>35</v>
      </c>
      <c r="C3" s="103" t="s">
        <v>36</v>
      </c>
      <c r="D3" s="2">
        <v>66</v>
      </c>
      <c r="E3" s="103" t="s">
        <v>478</v>
      </c>
      <c r="F3" s="103" t="s">
        <v>280</v>
      </c>
      <c r="G3" s="103" t="s">
        <v>32</v>
      </c>
      <c r="H3" s="103" t="s">
        <v>137</v>
      </c>
      <c r="I3" s="104" t="s">
        <v>480</v>
      </c>
      <c r="J3" s="104"/>
      <c r="K3" s="104"/>
      <c r="L3" s="104"/>
      <c r="M3" s="104"/>
      <c r="N3" s="104"/>
      <c r="O3" s="104"/>
      <c r="P3" s="104"/>
      <c r="Q3" s="104"/>
    </row>
    <row r="4" spans="1:17" ht="60.75">
      <c r="A4" s="104" t="s">
        <v>286</v>
      </c>
      <c r="B4" s="16" t="s">
        <v>23</v>
      </c>
      <c r="C4" s="20" t="s">
        <v>24</v>
      </c>
      <c r="D4" s="2" t="s">
        <v>41</v>
      </c>
      <c r="E4" s="103" t="s">
        <v>478</v>
      </c>
      <c r="F4" s="103" t="s">
        <v>280</v>
      </c>
      <c r="G4" s="103" t="s">
        <v>32</v>
      </c>
      <c r="H4" s="23" t="s">
        <v>287</v>
      </c>
      <c r="I4" s="104" t="s">
        <v>480</v>
      </c>
      <c r="J4" s="104"/>
      <c r="K4" s="104"/>
      <c r="L4" s="104"/>
      <c r="M4" s="104"/>
      <c r="N4" s="104"/>
      <c r="O4" s="104"/>
      <c r="P4" s="104"/>
      <c r="Q4" s="104"/>
    </row>
    <row r="5" spans="1:17" ht="28.9">
      <c r="A5" s="104" t="s">
        <v>286</v>
      </c>
      <c r="B5" s="16" t="s">
        <v>43</v>
      </c>
      <c r="C5" s="103" t="s">
        <v>44</v>
      </c>
      <c r="D5" s="2" t="s">
        <v>283</v>
      </c>
      <c r="E5" s="103" t="s">
        <v>478</v>
      </c>
      <c r="F5" s="103" t="s">
        <v>280</v>
      </c>
      <c r="G5" s="103" t="s">
        <v>32</v>
      </c>
      <c r="H5" s="103" t="s">
        <v>284</v>
      </c>
      <c r="I5" s="104" t="s">
        <v>480</v>
      </c>
      <c r="J5" s="104"/>
      <c r="K5" s="104"/>
      <c r="L5" s="104"/>
      <c r="M5" s="104"/>
      <c r="N5" s="104"/>
      <c r="O5" s="104"/>
      <c r="P5" s="104"/>
      <c r="Q5" s="104"/>
    </row>
    <row r="6" spans="1:17" ht="89.45">
      <c r="A6" s="104" t="s">
        <v>286</v>
      </c>
      <c r="B6" s="16" t="s">
        <v>47</v>
      </c>
      <c r="C6" s="103" t="s">
        <v>95</v>
      </c>
      <c r="D6" s="45" t="s">
        <v>49</v>
      </c>
      <c r="E6" s="103" t="s">
        <v>478</v>
      </c>
      <c r="F6" s="103" t="s">
        <v>280</v>
      </c>
      <c r="G6" s="103" t="s">
        <v>32</v>
      </c>
      <c r="H6" s="29" t="s">
        <v>285</v>
      </c>
      <c r="I6" s="104" t="s">
        <v>480</v>
      </c>
      <c r="J6" s="104"/>
      <c r="K6" s="104"/>
      <c r="L6" s="104"/>
      <c r="M6" s="104"/>
      <c r="N6" s="104"/>
      <c r="O6" s="104"/>
      <c r="P6" s="104"/>
      <c r="Q6" s="104"/>
    </row>
    <row r="7" spans="1:17" ht="57.6">
      <c r="A7" s="104" t="s">
        <v>286</v>
      </c>
      <c r="B7" s="16" t="s">
        <v>162</v>
      </c>
      <c r="C7" s="103" t="s">
        <v>163</v>
      </c>
      <c r="D7" s="2" t="s">
        <v>388</v>
      </c>
      <c r="E7" s="103" t="s">
        <v>478</v>
      </c>
      <c r="F7" s="103" t="s">
        <v>280</v>
      </c>
      <c r="G7" s="103" t="s">
        <v>32</v>
      </c>
      <c r="H7" s="103" t="s">
        <v>290</v>
      </c>
      <c r="I7" s="104" t="s">
        <v>480</v>
      </c>
      <c r="J7" s="104"/>
      <c r="K7" s="104"/>
      <c r="L7" s="104"/>
      <c r="M7" s="104"/>
      <c r="N7" s="104"/>
      <c r="O7" s="104"/>
      <c r="P7" s="104"/>
      <c r="Q7" s="104"/>
    </row>
    <row r="8" spans="1:17" ht="72">
      <c r="A8" s="64" t="s">
        <v>286</v>
      </c>
      <c r="B8" s="72" t="s">
        <v>51</v>
      </c>
      <c r="C8" s="23" t="s">
        <v>481</v>
      </c>
      <c r="D8" s="47" t="s">
        <v>482</v>
      </c>
      <c r="E8" s="23" t="s">
        <v>478</v>
      </c>
      <c r="F8" s="23" t="s">
        <v>280</v>
      </c>
      <c r="G8" s="23" t="s">
        <v>32</v>
      </c>
      <c r="H8" s="23" t="s">
        <v>483</v>
      </c>
      <c r="I8" s="64" t="s">
        <v>480</v>
      </c>
      <c r="J8" s="104"/>
      <c r="K8" s="104"/>
      <c r="L8" s="104"/>
      <c r="M8" s="104"/>
      <c r="N8" s="104"/>
      <c r="O8" s="104"/>
      <c r="P8" s="104"/>
      <c r="Q8" s="104"/>
    </row>
    <row r="10" spans="1:17" ht="28.9">
      <c r="A10" s="30" t="s">
        <v>301</v>
      </c>
      <c r="B10" s="30" t="s">
        <v>302</v>
      </c>
      <c r="C10" t="s">
        <v>131</v>
      </c>
      <c r="D10"/>
      <c r="E10"/>
      <c r="F10"/>
      <c r="G10"/>
      <c r="H10" s="10" t="s">
        <v>109</v>
      </c>
      <c r="I10" s="10" t="s">
        <v>303</v>
      </c>
      <c r="J10" s="36" t="s">
        <v>304</v>
      </c>
      <c r="K10" s="36" t="s">
        <v>305</v>
      </c>
      <c r="L10" s="10" t="s">
        <v>306</v>
      </c>
      <c r="M10" s="10" t="s">
        <v>111</v>
      </c>
      <c r="N10"/>
      <c r="O10"/>
      <c r="P10" s="36" t="s">
        <v>484</v>
      </c>
      <c r="Q10"/>
    </row>
    <row r="11" spans="1:17">
      <c r="A11" t="s">
        <v>128</v>
      </c>
      <c r="B11" s="37">
        <v>1.66</v>
      </c>
      <c r="C11" s="37">
        <v>0.91</v>
      </c>
      <c r="D11" s="33">
        <f>3*C11</f>
        <v>2.73</v>
      </c>
      <c r="E11" s="31"/>
      <c r="F11" s="31"/>
      <c r="G11" t="s">
        <v>112</v>
      </c>
      <c r="H11" s="38">
        <f>1/12</f>
        <v>8.3333333333333329E-2</v>
      </c>
      <c r="I11">
        <v>4.8</v>
      </c>
      <c r="J11">
        <v>0.84</v>
      </c>
      <c r="K11" s="39">
        <v>139.30898999999999</v>
      </c>
      <c r="L11" s="40">
        <f>K11*J11*365/1000</f>
        <v>42.712136333999993</v>
      </c>
      <c r="M11" s="41">
        <v>0.23</v>
      </c>
      <c r="N11"/>
      <c r="O11" s="42"/>
      <c r="P11" s="38" t="s">
        <v>294</v>
      </c>
      <c r="Q11" t="s">
        <v>295</v>
      </c>
    </row>
    <row r="12" spans="1:17">
      <c r="A12" t="s">
        <v>170</v>
      </c>
      <c r="B12">
        <f>B11*1000/$H$25</f>
        <v>24.303570656420458</v>
      </c>
      <c r="C12">
        <f>C11*1000/$H$25</f>
        <v>13.323041745387117</v>
      </c>
      <c r="D12">
        <f>C12*3</f>
        <v>39.969125236161354</v>
      </c>
      <c r="E12"/>
      <c r="F12"/>
      <c r="G12" t="s">
        <v>113</v>
      </c>
      <c r="H12" s="38">
        <f>2/12</f>
        <v>0.16666666666666666</v>
      </c>
      <c r="I12">
        <v>5.9</v>
      </c>
      <c r="J12">
        <v>0.9</v>
      </c>
      <c r="K12" s="39">
        <v>139.30898999999999</v>
      </c>
      <c r="L12" s="40">
        <f>K12*J12*365/1000</f>
        <v>45.763003214999998</v>
      </c>
      <c r="M12" s="41">
        <v>0.23</v>
      </c>
      <c r="N12"/>
      <c r="O12" t="s">
        <v>485</v>
      </c>
      <c r="P12">
        <f>269+94</f>
        <v>363</v>
      </c>
      <c r="Q12">
        <v>77</v>
      </c>
    </row>
    <row r="13" spans="1:17">
      <c r="A13"/>
      <c r="B13"/>
      <c r="C13"/>
      <c r="D13"/>
      <c r="E13" s="32"/>
      <c r="F13" s="32"/>
      <c r="G13" t="s">
        <v>114</v>
      </c>
      <c r="H13">
        <f>3/12</f>
        <v>0.25</v>
      </c>
      <c r="I13">
        <v>7.4</v>
      </c>
      <c r="J13">
        <v>1.05</v>
      </c>
      <c r="K13" s="39">
        <v>139.30898999999999</v>
      </c>
      <c r="L13" s="40">
        <f>K13*J13*365/1000</f>
        <v>53.390170417499995</v>
      </c>
      <c r="M13" s="41">
        <v>0.23</v>
      </c>
      <c r="N13"/>
      <c r="O13" t="s">
        <v>486</v>
      </c>
      <c r="P13">
        <f>193+76</f>
        <v>269</v>
      </c>
      <c r="Q13">
        <v>65</v>
      </c>
    </row>
    <row r="14" spans="1:17">
      <c r="A14" t="s">
        <v>307</v>
      </c>
      <c r="B14" t="s">
        <v>186</v>
      </c>
      <c r="C14" t="s">
        <v>308</v>
      </c>
      <c r="D14"/>
      <c r="E14"/>
      <c r="F14"/>
      <c r="G14" t="s">
        <v>115</v>
      </c>
      <c r="H14">
        <f>6/12</f>
        <v>0.5</v>
      </c>
      <c r="I14">
        <v>9.1999999999999993</v>
      </c>
      <c r="J14">
        <v>1.05</v>
      </c>
      <c r="K14" s="39">
        <v>139.30898999999999</v>
      </c>
      <c r="L14" s="40">
        <f>K14*J14*365/1000</f>
        <v>53.390170417499995</v>
      </c>
      <c r="M14" s="41">
        <v>0.23</v>
      </c>
      <c r="N14"/>
      <c r="O14" t="s">
        <v>487</v>
      </c>
      <c r="P14">
        <f>132+39</f>
        <v>171</v>
      </c>
      <c r="Q14">
        <v>55</v>
      </c>
    </row>
    <row r="15" spans="1:17">
      <c r="A15" t="s">
        <v>309</v>
      </c>
      <c r="B15">
        <v>5</v>
      </c>
      <c r="C15">
        <v>10</v>
      </c>
      <c r="D15"/>
      <c r="E15"/>
      <c r="F15"/>
      <c r="G15" t="s">
        <v>116</v>
      </c>
      <c r="H15">
        <v>1</v>
      </c>
      <c r="I15">
        <v>11.4</v>
      </c>
      <c r="J15">
        <v>0.84</v>
      </c>
      <c r="K15" s="39">
        <v>139.30898999999999</v>
      </c>
      <c r="L15" s="40">
        <f t="shared" ref="L15:L21" si="0">K15*J15*365/1000</f>
        <v>42.712136333999993</v>
      </c>
      <c r="M15" s="43">
        <v>0.1</v>
      </c>
      <c r="N15"/>
      <c r="O15" t="s">
        <v>488</v>
      </c>
      <c r="P15">
        <f>39+23</f>
        <v>62</v>
      </c>
      <c r="Q15">
        <v>45</v>
      </c>
    </row>
    <row r="16" spans="1:17">
      <c r="A16" t="s">
        <v>310</v>
      </c>
      <c r="B16">
        <f>B15*B11</f>
        <v>8.2999999999999989</v>
      </c>
      <c r="C16">
        <f>C15*B11</f>
        <v>16.599999999999998</v>
      </c>
      <c r="D16"/>
      <c r="E16"/>
      <c r="F16"/>
      <c r="G16" t="s">
        <v>117</v>
      </c>
      <c r="H16">
        <v>2</v>
      </c>
      <c r="I16">
        <v>13.8</v>
      </c>
      <c r="J16">
        <v>0.88</v>
      </c>
      <c r="K16" s="39">
        <v>139.30898999999999</v>
      </c>
      <c r="L16" s="40">
        <f t="shared" si="0"/>
        <v>44.746047588000003</v>
      </c>
      <c r="M16" s="43">
        <v>0.1</v>
      </c>
      <c r="N16"/>
      <c r="O16" t="s">
        <v>489</v>
      </c>
      <c r="P16">
        <v>7</v>
      </c>
      <c r="Q16">
        <v>35</v>
      </c>
    </row>
    <row r="17" spans="1:17">
      <c r="A17"/>
      <c r="B17"/>
      <c r="C17"/>
      <c r="D17"/>
      <c r="E17"/>
      <c r="F17"/>
      <c r="G17" t="s">
        <v>118</v>
      </c>
      <c r="H17">
        <v>3</v>
      </c>
      <c r="I17">
        <v>18.600000000000001</v>
      </c>
      <c r="J17">
        <v>0.96</v>
      </c>
      <c r="K17" s="39">
        <v>139.30898999999999</v>
      </c>
      <c r="L17" s="40">
        <f t="shared" si="0"/>
        <v>48.813870096000002</v>
      </c>
      <c r="M17" s="43">
        <v>0.1</v>
      </c>
      <c r="N17"/>
      <c r="O17" s="42"/>
      <c r="P17" s="38"/>
      <c r="Q17"/>
    </row>
    <row r="18" spans="1:17">
      <c r="A18"/>
      <c r="B18"/>
      <c r="C18"/>
      <c r="D18"/>
      <c r="E18"/>
      <c r="F18"/>
      <c r="G18" t="s">
        <v>119</v>
      </c>
      <c r="H18">
        <v>5</v>
      </c>
      <c r="I18">
        <v>31.8</v>
      </c>
      <c r="J18">
        <v>1.31</v>
      </c>
      <c r="K18" s="39">
        <v>139.30898999999999</v>
      </c>
      <c r="L18" s="40">
        <f t="shared" si="0"/>
        <v>66.610593568499993</v>
      </c>
      <c r="M18" s="43">
        <v>0.1</v>
      </c>
      <c r="N18"/>
      <c r="O18" s="44" t="s">
        <v>300</v>
      </c>
      <c r="P18" s="38">
        <f>SUMPRODUCT(P12:P16,Q12:Q16)/SUM(P12:P16)</f>
        <v>66.371559633027516</v>
      </c>
      <c r="Q18"/>
    </row>
    <row r="19" spans="1:17">
      <c r="A19"/>
      <c r="B19"/>
      <c r="C19"/>
      <c r="D19"/>
      <c r="E19"/>
      <c r="F19"/>
      <c r="G19" t="s">
        <v>120</v>
      </c>
      <c r="H19">
        <v>5</v>
      </c>
      <c r="I19">
        <v>56.8</v>
      </c>
      <c r="J19">
        <v>1.82</v>
      </c>
      <c r="K19" s="39">
        <v>139.30898999999999</v>
      </c>
      <c r="L19" s="40">
        <f t="shared" si="0"/>
        <v>92.542962056999997</v>
      </c>
      <c r="M19" s="43">
        <v>0.1</v>
      </c>
      <c r="N19"/>
      <c r="O19"/>
      <c r="P19"/>
      <c r="Q19"/>
    </row>
    <row r="20" spans="1:17">
      <c r="A20" t="s">
        <v>311</v>
      </c>
      <c r="B20"/>
      <c r="C20"/>
      <c r="D20"/>
      <c r="E20"/>
      <c r="F20"/>
      <c r="G20" t="s">
        <v>121</v>
      </c>
      <c r="H20">
        <v>5</v>
      </c>
      <c r="I20">
        <v>71.599999999999994</v>
      </c>
      <c r="J20" s="33">
        <v>2.0754999999999999</v>
      </c>
      <c r="K20" s="39">
        <v>139.30898999999999</v>
      </c>
      <c r="L20" s="40">
        <f t="shared" si="0"/>
        <v>105.53457019192498</v>
      </c>
      <c r="M20" s="43">
        <v>0.1</v>
      </c>
      <c r="N20"/>
      <c r="O20"/>
      <c r="P20" s="36" t="s">
        <v>490</v>
      </c>
      <c r="Q20"/>
    </row>
    <row r="21" spans="1:17">
      <c r="A21"/>
      <c r="B21"/>
      <c r="C21"/>
      <c r="D21"/>
      <c r="E21"/>
      <c r="F21"/>
      <c r="G21" t="s">
        <v>122</v>
      </c>
      <c r="H21">
        <f>H24-21</f>
        <v>45.371559633027516</v>
      </c>
      <c r="I21">
        <v>80</v>
      </c>
      <c r="J21">
        <v>2.39</v>
      </c>
      <c r="K21" s="39">
        <v>139.30898999999999</v>
      </c>
      <c r="L21" s="40">
        <f t="shared" si="0"/>
        <v>121.5261974265</v>
      </c>
      <c r="M21" s="43">
        <v>0.1</v>
      </c>
      <c r="N21"/>
      <c r="O21" s="42"/>
      <c r="P21" s="38" t="s">
        <v>294</v>
      </c>
      <c r="Q21" t="s">
        <v>295</v>
      </c>
    </row>
    <row r="22" spans="1:17">
      <c r="A22" s="30"/>
      <c r="B22"/>
      <c r="C22"/>
      <c r="D22"/>
      <c r="E22"/>
      <c r="F22"/>
      <c r="G22"/>
      <c r="H22"/>
      <c r="I22"/>
      <c r="J22"/>
      <c r="K22"/>
      <c r="L22"/>
      <c r="M22"/>
      <c r="N22"/>
      <c r="O22" t="s">
        <v>485</v>
      </c>
      <c r="P22">
        <v>94</v>
      </c>
      <c r="Q22">
        <v>77</v>
      </c>
    </row>
    <row r="23" spans="1:17">
      <c r="A23"/>
      <c r="B23"/>
      <c r="C23"/>
      <c r="D23"/>
      <c r="E23"/>
      <c r="F23"/>
      <c r="G23"/>
      <c r="H23"/>
      <c r="I23"/>
      <c r="J23"/>
      <c r="K23"/>
      <c r="L23"/>
      <c r="M23"/>
      <c r="N23"/>
      <c r="O23" t="s">
        <v>486</v>
      </c>
      <c r="P23">
        <v>76</v>
      </c>
      <c r="Q23">
        <v>65</v>
      </c>
    </row>
    <row r="24" spans="1:17">
      <c r="A24"/>
      <c r="B24"/>
      <c r="C24"/>
      <c r="D24"/>
      <c r="E24"/>
      <c r="F24"/>
      <c r="G24" t="s">
        <v>313</v>
      </c>
      <c r="H24" s="38">
        <f>P18</f>
        <v>66.371559633027516</v>
      </c>
      <c r="I24"/>
      <c r="J24"/>
      <c r="K24"/>
      <c r="L24"/>
      <c r="M24"/>
      <c r="N24"/>
      <c r="O24" t="s">
        <v>487</v>
      </c>
      <c r="P24">
        <v>39</v>
      </c>
      <c r="Q24">
        <v>55</v>
      </c>
    </row>
    <row r="25" spans="1:17">
      <c r="A25"/>
      <c r="B25"/>
      <c r="C25"/>
      <c r="D25"/>
      <c r="E25"/>
      <c r="F25"/>
      <c r="G25" t="s">
        <v>314</v>
      </c>
      <c r="H25">
        <f>SUMPRODUCT(H11:H21,I11:I21)/H24</f>
        <v>68.302720759324529</v>
      </c>
      <c r="I25"/>
      <c r="J25"/>
      <c r="K25"/>
      <c r="L25"/>
      <c r="M25"/>
      <c r="N25"/>
      <c r="O25" t="s">
        <v>488</v>
      </c>
      <c r="P25">
        <v>23</v>
      </c>
      <c r="Q25">
        <v>45</v>
      </c>
    </row>
    <row r="26" spans="1:17">
      <c r="A26"/>
      <c r="B26" s="33"/>
      <c r="C26"/>
      <c r="D26"/>
      <c r="E26"/>
      <c r="F26"/>
      <c r="G26"/>
      <c r="H26"/>
      <c r="I26"/>
      <c r="J26"/>
      <c r="K26"/>
      <c r="L26"/>
      <c r="M26"/>
      <c r="N26"/>
      <c r="O26" t="s">
        <v>489</v>
      </c>
      <c r="P26">
        <v>0</v>
      </c>
      <c r="Q26">
        <v>35</v>
      </c>
    </row>
    <row r="27" spans="1:17">
      <c r="A27"/>
      <c r="B27" s="33"/>
      <c r="C27"/>
      <c r="D27"/>
      <c r="E27"/>
      <c r="F27"/>
      <c r="G27"/>
      <c r="H27"/>
      <c r="I27"/>
      <c r="J27"/>
      <c r="K27"/>
      <c r="L27"/>
      <c r="M27"/>
      <c r="N27"/>
      <c r="O27" s="42"/>
      <c r="P27" s="38"/>
      <c r="Q27"/>
    </row>
    <row r="28" spans="1:17">
      <c r="A28"/>
      <c r="B28" s="33"/>
      <c r="C28"/>
      <c r="D28"/>
      <c r="E28"/>
      <c r="F28"/>
      <c r="G28"/>
      <c r="H28"/>
      <c r="I28"/>
      <c r="J28"/>
      <c r="K28"/>
      <c r="L28"/>
      <c r="M28"/>
      <c r="N28"/>
      <c r="O28" s="44" t="s">
        <v>300</v>
      </c>
      <c r="P28" s="38">
        <f>SUMPRODUCT(P22:P26,Q22:Q26)/SUM(P22:P26)</f>
        <v>66.198275862068968</v>
      </c>
      <c r="Q28"/>
    </row>
  </sheetData>
  <autoFilter ref="A1:I8" xr:uid="{8E9D7E18-A9B3-4191-9DBB-B80908E44EFC}">
    <sortState xmlns:xlrd2="http://schemas.microsoft.com/office/spreadsheetml/2017/richdata2" ref="A2:I8">
      <sortCondition ref="E1:E8"/>
    </sortState>
  </autoFilter>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00415-173F-46A4-B581-51902DEE20A0}">
  <dimension ref="A1:J30"/>
  <sheetViews>
    <sheetView workbookViewId="0">
      <selection activeCell="E23" sqref="E23"/>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c r="A2" s="104" t="s">
        <v>96</v>
      </c>
      <c r="B2" s="13" t="s">
        <v>28</v>
      </c>
      <c r="C2" s="104" t="s">
        <v>29</v>
      </c>
      <c r="D2" s="10">
        <v>68.900000000000006</v>
      </c>
      <c r="E2" s="104" t="s">
        <v>97</v>
      </c>
      <c r="F2" s="104" t="s">
        <v>98</v>
      </c>
      <c r="G2" s="104" t="s">
        <v>32</v>
      </c>
      <c r="H2" s="104" t="s">
        <v>99</v>
      </c>
      <c r="I2" s="104" t="s">
        <v>100</v>
      </c>
      <c r="J2" s="104"/>
    </row>
    <row r="3" spans="1:10" ht="28.9">
      <c r="A3" s="104" t="s">
        <v>96</v>
      </c>
      <c r="B3" s="13" t="s">
        <v>35</v>
      </c>
      <c r="C3" s="104" t="s">
        <v>36</v>
      </c>
      <c r="D3" s="10">
        <v>25.6</v>
      </c>
      <c r="E3" s="104" t="s">
        <v>97</v>
      </c>
      <c r="F3" s="104" t="s">
        <v>98</v>
      </c>
      <c r="G3" s="104" t="s">
        <v>32</v>
      </c>
      <c r="H3" s="104" t="s">
        <v>101</v>
      </c>
      <c r="I3" s="104" t="s">
        <v>100</v>
      </c>
      <c r="J3" s="104"/>
    </row>
    <row r="4" spans="1:10" ht="28.9">
      <c r="A4" s="104" t="s">
        <v>96</v>
      </c>
      <c r="B4" s="13" t="s">
        <v>43</v>
      </c>
      <c r="C4" s="103" t="s">
        <v>44</v>
      </c>
      <c r="D4" s="15" t="s">
        <v>102</v>
      </c>
      <c r="E4" s="104" t="s">
        <v>97</v>
      </c>
      <c r="F4" s="104" t="s">
        <v>98</v>
      </c>
      <c r="G4" s="103" t="s">
        <v>32</v>
      </c>
      <c r="H4" s="104" t="s">
        <v>103</v>
      </c>
      <c r="I4" s="104" t="s">
        <v>100</v>
      </c>
      <c r="J4" s="104"/>
    </row>
    <row r="5" spans="1:10" ht="72">
      <c r="A5" s="104" t="s">
        <v>96</v>
      </c>
      <c r="B5" s="13" t="s">
        <v>47</v>
      </c>
      <c r="C5" s="104" t="s">
        <v>95</v>
      </c>
      <c r="D5" s="45" t="s">
        <v>104</v>
      </c>
      <c r="E5" s="104" t="s">
        <v>97</v>
      </c>
      <c r="F5" s="104" t="s">
        <v>98</v>
      </c>
      <c r="G5" s="104" t="s">
        <v>32</v>
      </c>
      <c r="H5" s="23" t="s">
        <v>105</v>
      </c>
      <c r="I5" s="104" t="s">
        <v>100</v>
      </c>
      <c r="J5" s="104"/>
    </row>
    <row r="6" spans="1:10" ht="43.15">
      <c r="A6" s="104" t="s">
        <v>96</v>
      </c>
      <c r="B6" s="13" t="s">
        <v>51</v>
      </c>
      <c r="C6" s="103" t="s">
        <v>52</v>
      </c>
      <c r="D6" s="3" t="s">
        <v>106</v>
      </c>
      <c r="E6" s="103" t="s">
        <v>97</v>
      </c>
      <c r="F6" s="103" t="s">
        <v>98</v>
      </c>
      <c r="G6" s="103" t="s">
        <v>32</v>
      </c>
      <c r="H6" s="103" t="s">
        <v>107</v>
      </c>
      <c r="I6" s="104" t="s">
        <v>100</v>
      </c>
      <c r="J6" s="104"/>
    </row>
    <row r="9" spans="1:10">
      <c r="A9" t="s">
        <v>108</v>
      </c>
      <c r="B9"/>
      <c r="C9" s="10" t="s">
        <v>109</v>
      </c>
      <c r="D9" s="10" t="s">
        <v>110</v>
      </c>
      <c r="E9" s="10" t="s">
        <v>111</v>
      </c>
      <c r="F9"/>
      <c r="G9" s="103"/>
      <c r="H9" s="103"/>
      <c r="I9" s="103"/>
      <c r="J9" s="104"/>
    </row>
    <row r="10" spans="1:10">
      <c r="A10"/>
      <c r="B10" t="s">
        <v>112</v>
      </c>
      <c r="C10" s="38">
        <f>1/12</f>
        <v>8.3333333333333329E-2</v>
      </c>
      <c r="D10">
        <v>4.8</v>
      </c>
      <c r="E10" s="41">
        <v>0.23</v>
      </c>
      <c r="F10"/>
      <c r="G10" s="103"/>
      <c r="H10" s="103"/>
      <c r="I10" s="103"/>
      <c r="J10" s="104"/>
    </row>
    <row r="11" spans="1:10">
      <c r="A11"/>
      <c r="B11" t="s">
        <v>113</v>
      </c>
      <c r="C11" s="38">
        <f>2/12</f>
        <v>0.16666666666666666</v>
      </c>
      <c r="D11">
        <v>5.9</v>
      </c>
      <c r="E11" s="41">
        <v>0.23</v>
      </c>
      <c r="F11"/>
      <c r="G11" s="103"/>
      <c r="H11" s="103"/>
      <c r="I11" s="103"/>
      <c r="J11" s="104"/>
    </row>
    <row r="12" spans="1:10">
      <c r="A12"/>
      <c r="B12" t="s">
        <v>114</v>
      </c>
      <c r="C12">
        <f>3/12</f>
        <v>0.25</v>
      </c>
      <c r="D12">
        <v>7.4</v>
      </c>
      <c r="E12" s="41">
        <v>0.23</v>
      </c>
      <c r="F12"/>
      <c r="G12" s="103"/>
      <c r="H12" s="103"/>
      <c r="I12" s="103"/>
      <c r="J12" s="104"/>
    </row>
    <row r="13" spans="1:10">
      <c r="A13"/>
      <c r="B13" t="s">
        <v>115</v>
      </c>
      <c r="C13">
        <f>6/12</f>
        <v>0.5</v>
      </c>
      <c r="D13">
        <v>9.1999999999999993</v>
      </c>
      <c r="E13" s="41">
        <v>0.23</v>
      </c>
      <c r="F13"/>
      <c r="G13" s="103"/>
      <c r="H13" s="103"/>
      <c r="I13" s="103"/>
      <c r="J13" s="104"/>
    </row>
    <row r="14" spans="1:10">
      <c r="A14"/>
      <c r="B14" t="s">
        <v>116</v>
      </c>
      <c r="C14">
        <v>1</v>
      </c>
      <c r="D14">
        <v>11.4</v>
      </c>
      <c r="E14" s="43">
        <v>0.1</v>
      </c>
      <c r="F14"/>
      <c r="G14" s="103"/>
      <c r="H14" s="103"/>
      <c r="I14" s="103"/>
      <c r="J14" s="104"/>
    </row>
    <row r="15" spans="1:10">
      <c r="A15"/>
      <c r="B15" t="s">
        <v>117</v>
      </c>
      <c r="C15">
        <v>2</v>
      </c>
      <c r="D15">
        <v>13.8</v>
      </c>
      <c r="E15" s="43">
        <v>0.1</v>
      </c>
      <c r="F15"/>
      <c r="G15" s="103"/>
      <c r="H15" s="103"/>
      <c r="I15" s="103"/>
      <c r="J15" s="104"/>
    </row>
    <row r="16" spans="1:10">
      <c r="A16"/>
      <c r="B16" t="s">
        <v>118</v>
      </c>
      <c r="C16">
        <v>3</v>
      </c>
      <c r="D16">
        <v>18.600000000000001</v>
      </c>
      <c r="E16" s="43">
        <v>0.1</v>
      </c>
      <c r="F16"/>
      <c r="G16" s="103"/>
      <c r="H16" s="103"/>
      <c r="I16" s="103"/>
      <c r="J16" s="104"/>
    </row>
    <row r="17" spans="1:6">
      <c r="A17"/>
      <c r="B17" t="s">
        <v>119</v>
      </c>
      <c r="C17">
        <v>5</v>
      </c>
      <c r="D17">
        <v>31.8</v>
      </c>
      <c r="E17" s="43">
        <v>0.1</v>
      </c>
      <c r="F17"/>
    </row>
    <row r="18" spans="1:6">
      <c r="A18"/>
      <c r="B18" t="s">
        <v>120</v>
      </c>
      <c r="C18">
        <v>5</v>
      </c>
      <c r="D18">
        <v>56.8</v>
      </c>
      <c r="E18" s="43">
        <v>0.1</v>
      </c>
      <c r="F18"/>
    </row>
    <row r="19" spans="1:6">
      <c r="A19"/>
      <c r="B19" t="s">
        <v>121</v>
      </c>
      <c r="C19">
        <v>5</v>
      </c>
      <c r="D19">
        <v>71.599999999999994</v>
      </c>
      <c r="E19" s="43">
        <v>0.1</v>
      </c>
      <c r="F19"/>
    </row>
    <row r="20" spans="1:6">
      <c r="A20"/>
      <c r="B20" t="s">
        <v>122</v>
      </c>
      <c r="C20">
        <f>C23-21</f>
        <v>47.3</v>
      </c>
      <c r="D20">
        <v>80</v>
      </c>
      <c r="E20" s="43">
        <v>0.1</v>
      </c>
      <c r="F20"/>
    </row>
    <row r="21" spans="1:6">
      <c r="A21"/>
      <c r="B21"/>
      <c r="C21" s="10"/>
      <c r="D21" s="59"/>
      <c r="E21"/>
      <c r="F21"/>
    </row>
    <row r="22" spans="1:6">
      <c r="A22"/>
      <c r="B22"/>
      <c r="C22"/>
      <c r="D22"/>
      <c r="E22"/>
      <c r="F22"/>
    </row>
    <row r="23" spans="1:6">
      <c r="A23"/>
      <c r="B23" t="s">
        <v>123</v>
      </c>
      <c r="C23">
        <v>68.3</v>
      </c>
      <c r="D23" t="s">
        <v>124</v>
      </c>
      <c r="E23" s="33">
        <f>SUMPRODUCT(C10:C20,E10:E20)/C23</f>
        <v>0.10336749633967789</v>
      </c>
      <c r="F23"/>
    </row>
    <row r="24" spans="1:6">
      <c r="A24"/>
      <c r="B24"/>
      <c r="C24"/>
      <c r="D24"/>
      <c r="E24"/>
      <c r="F24"/>
    </row>
    <row r="25" spans="1:6">
      <c r="A25"/>
      <c r="B25" t="s">
        <v>125</v>
      </c>
      <c r="C25" s="40">
        <f>SUMPRODUCT(C10:C20,D10:D20)/C23</f>
        <v>68.632991703269894</v>
      </c>
      <c r="D25"/>
      <c r="E25"/>
      <c r="F25"/>
    </row>
    <row r="26" spans="1:6">
      <c r="A26"/>
      <c r="B26"/>
      <c r="C26"/>
      <c r="D26"/>
      <c r="E26"/>
      <c r="F26"/>
    </row>
    <row r="27" spans="1:6">
      <c r="A27"/>
      <c r="B27"/>
      <c r="C27"/>
      <c r="D27"/>
      <c r="E27"/>
      <c r="F27"/>
    </row>
    <row r="28" spans="1:6">
      <c r="A28" t="s">
        <v>126</v>
      </c>
      <c r="B28"/>
      <c r="C28"/>
      <c r="D28"/>
      <c r="E28"/>
      <c r="F28"/>
    </row>
    <row r="29" spans="1:6">
      <c r="A29" t="s">
        <v>127</v>
      </c>
      <c r="B29">
        <v>2.2799999999999998</v>
      </c>
      <c r="C29" t="s">
        <v>128</v>
      </c>
      <c r="D29" s="40">
        <f>B29*1000/C25</f>
        <v>33.22017507057577</v>
      </c>
      <c r="E29" t="s">
        <v>129</v>
      </c>
      <c r="F29" t="s">
        <v>130</v>
      </c>
    </row>
    <row r="30" spans="1:6">
      <c r="A30" t="s">
        <v>131</v>
      </c>
      <c r="B30">
        <v>1.08</v>
      </c>
      <c r="C30" t="s">
        <v>128</v>
      </c>
      <c r="D30" s="40">
        <f>B30*1000/C25</f>
        <v>15.73587240185168</v>
      </c>
      <c r="E30" t="s">
        <v>129</v>
      </c>
      <c r="F30" s="40">
        <f>D30*3</f>
        <v>47.207617205555039</v>
      </c>
    </row>
  </sheetData>
  <autoFilter ref="A1:I6" xr:uid="{8E9D7E18-A9B3-4191-9DBB-B80908E44EFC}">
    <sortState xmlns:xlrd2="http://schemas.microsoft.com/office/spreadsheetml/2017/richdata2" ref="A2:I6">
      <sortCondition ref="E1:E6"/>
    </sortState>
  </autoFilter>
  <pageMargins left="0.7" right="0.7" top="0.75" bottom="0.75" header="0.3" footer="0.3"/>
  <pageSetup orientation="portrait" r:id="rId1"/>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46486-AB6A-4247-A22A-4AACED06B40D}">
  <dimension ref="A1:R30"/>
  <sheetViews>
    <sheetView topLeftCell="I8" zoomScale="90" zoomScaleNormal="90" workbookViewId="0">
      <selection activeCell="P18" sqref="P18"/>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8" ht="28.9">
      <c r="A1" s="5" t="s">
        <v>0</v>
      </c>
      <c r="B1" s="12" t="s">
        <v>1</v>
      </c>
      <c r="C1" s="6" t="s">
        <v>2</v>
      </c>
      <c r="D1" s="6" t="s">
        <v>3</v>
      </c>
      <c r="E1" s="6" t="s">
        <v>4</v>
      </c>
      <c r="F1" s="6" t="s">
        <v>5</v>
      </c>
      <c r="G1" s="6" t="s">
        <v>6</v>
      </c>
      <c r="H1" s="6" t="s">
        <v>7</v>
      </c>
      <c r="I1" s="7" t="s">
        <v>8</v>
      </c>
      <c r="J1" s="7" t="s">
        <v>9</v>
      </c>
      <c r="K1" s="104"/>
      <c r="L1" s="104"/>
      <c r="M1" s="104"/>
      <c r="N1" s="104"/>
      <c r="O1" s="104"/>
      <c r="P1" s="104"/>
      <c r="Q1" s="104"/>
      <c r="R1" s="104"/>
    </row>
    <row r="2" spans="1:18" ht="72.599999999999994" customHeight="1">
      <c r="A2" s="103" t="s">
        <v>286</v>
      </c>
      <c r="B2" s="13" t="s">
        <v>28</v>
      </c>
      <c r="C2" s="103" t="s">
        <v>29</v>
      </c>
      <c r="D2" s="2">
        <v>66</v>
      </c>
      <c r="E2" s="103" t="s">
        <v>478</v>
      </c>
      <c r="F2" s="103" t="s">
        <v>280</v>
      </c>
      <c r="G2" s="103" t="s">
        <v>16</v>
      </c>
      <c r="H2" s="103" t="s">
        <v>491</v>
      </c>
      <c r="I2" s="103" t="s">
        <v>492</v>
      </c>
      <c r="J2" s="104"/>
      <c r="K2" s="104"/>
      <c r="L2" s="104"/>
      <c r="M2" s="104"/>
      <c r="N2" s="104"/>
      <c r="O2" s="104"/>
      <c r="P2" s="104"/>
      <c r="Q2" s="104"/>
      <c r="R2" s="104"/>
    </row>
    <row r="3" spans="1:18" ht="28.9">
      <c r="A3" s="103" t="s">
        <v>286</v>
      </c>
      <c r="B3" s="13" t="s">
        <v>35</v>
      </c>
      <c r="C3" s="103" t="s">
        <v>267</v>
      </c>
      <c r="D3" s="2">
        <v>66</v>
      </c>
      <c r="E3" s="103" t="s">
        <v>478</v>
      </c>
      <c r="F3" s="103" t="s">
        <v>280</v>
      </c>
      <c r="G3" s="103" t="s">
        <v>16</v>
      </c>
      <c r="H3" s="103" t="s">
        <v>137</v>
      </c>
      <c r="I3" s="103" t="s">
        <v>492</v>
      </c>
      <c r="J3" s="104"/>
      <c r="K3" s="104"/>
      <c r="L3" s="104"/>
      <c r="M3" s="104"/>
      <c r="N3" s="104"/>
      <c r="O3" s="104"/>
      <c r="P3" s="104"/>
      <c r="Q3" s="104"/>
      <c r="R3" s="104"/>
    </row>
    <row r="4" spans="1:18" ht="65.25" customHeight="1">
      <c r="A4" s="103" t="s">
        <v>286</v>
      </c>
      <c r="B4" s="13" t="s">
        <v>23</v>
      </c>
      <c r="C4" s="103" t="s">
        <v>24</v>
      </c>
      <c r="D4" s="2" t="s">
        <v>41</v>
      </c>
      <c r="E4" s="103" t="s">
        <v>478</v>
      </c>
      <c r="F4" s="103" t="s">
        <v>280</v>
      </c>
      <c r="G4" s="103" t="s">
        <v>16</v>
      </c>
      <c r="H4" s="23" t="s">
        <v>287</v>
      </c>
      <c r="I4" s="103" t="s">
        <v>492</v>
      </c>
      <c r="J4" s="104"/>
      <c r="K4" s="104"/>
      <c r="L4" s="104"/>
      <c r="M4" s="104"/>
      <c r="N4" s="104"/>
      <c r="O4" s="104"/>
      <c r="P4" s="104"/>
      <c r="Q4" s="104"/>
      <c r="R4" s="104"/>
    </row>
    <row r="5" spans="1:18" ht="28.9">
      <c r="A5" s="103" t="s">
        <v>286</v>
      </c>
      <c r="B5" s="13" t="s">
        <v>43</v>
      </c>
      <c r="C5" s="103" t="s">
        <v>272</v>
      </c>
      <c r="D5" s="2" t="s">
        <v>283</v>
      </c>
      <c r="E5" s="103" t="s">
        <v>478</v>
      </c>
      <c r="F5" s="103" t="s">
        <v>280</v>
      </c>
      <c r="G5" s="103" t="s">
        <v>16</v>
      </c>
      <c r="H5" s="103" t="s">
        <v>284</v>
      </c>
      <c r="I5" s="103" t="s">
        <v>492</v>
      </c>
      <c r="J5" s="104"/>
      <c r="K5" s="104"/>
      <c r="L5" s="104"/>
      <c r="M5" s="104"/>
      <c r="N5" s="104"/>
      <c r="O5" s="104"/>
      <c r="P5" s="104"/>
      <c r="Q5" s="104"/>
      <c r="R5" s="104"/>
    </row>
    <row r="6" spans="1:18" ht="89.45">
      <c r="A6" s="103" t="s">
        <v>286</v>
      </c>
      <c r="B6" s="13" t="s">
        <v>47</v>
      </c>
      <c r="C6" s="103" t="s">
        <v>95</v>
      </c>
      <c r="D6" s="45" t="s">
        <v>49</v>
      </c>
      <c r="E6" s="103" t="s">
        <v>478</v>
      </c>
      <c r="F6" s="103" t="s">
        <v>280</v>
      </c>
      <c r="G6" s="103" t="s">
        <v>16</v>
      </c>
      <c r="H6" s="29" t="s">
        <v>285</v>
      </c>
      <c r="I6" s="103" t="s">
        <v>492</v>
      </c>
      <c r="J6" s="104"/>
      <c r="K6" s="104"/>
      <c r="L6" s="104"/>
      <c r="M6" s="104"/>
      <c r="N6" s="104"/>
      <c r="O6" s="104"/>
      <c r="P6" s="104"/>
      <c r="Q6" s="104"/>
      <c r="R6" s="104"/>
    </row>
    <row r="7" spans="1:18" ht="57.6">
      <c r="A7" s="103" t="s">
        <v>286</v>
      </c>
      <c r="B7" s="13" t="s">
        <v>162</v>
      </c>
      <c r="C7" s="103" t="s">
        <v>163</v>
      </c>
      <c r="D7" s="2" t="s">
        <v>388</v>
      </c>
      <c r="E7" s="103" t="s">
        <v>478</v>
      </c>
      <c r="F7" s="103" t="s">
        <v>280</v>
      </c>
      <c r="G7" s="103" t="s">
        <v>16</v>
      </c>
      <c r="H7" s="103" t="s">
        <v>290</v>
      </c>
      <c r="I7" s="103" t="s">
        <v>492</v>
      </c>
      <c r="J7" s="104"/>
      <c r="K7" s="104"/>
      <c r="L7" s="104"/>
      <c r="M7" s="104"/>
      <c r="N7" s="104"/>
      <c r="O7" s="104"/>
      <c r="P7" s="104"/>
      <c r="Q7" s="104"/>
      <c r="R7" s="104"/>
    </row>
    <row r="8" spans="1:18" ht="72.599999999999994" customHeight="1">
      <c r="A8" s="23" t="s">
        <v>286</v>
      </c>
      <c r="B8" s="61" t="s">
        <v>51</v>
      </c>
      <c r="C8" s="23" t="s">
        <v>481</v>
      </c>
      <c r="D8" s="47" t="s">
        <v>482</v>
      </c>
      <c r="E8" s="23" t="s">
        <v>478</v>
      </c>
      <c r="F8" s="23" t="s">
        <v>280</v>
      </c>
      <c r="G8" s="23" t="s">
        <v>16</v>
      </c>
      <c r="H8" s="23" t="s">
        <v>483</v>
      </c>
      <c r="I8" s="103" t="s">
        <v>492</v>
      </c>
      <c r="J8" s="104"/>
      <c r="K8" s="104"/>
      <c r="L8" s="104"/>
      <c r="M8" s="104"/>
      <c r="N8" s="104"/>
      <c r="O8" s="104"/>
      <c r="P8" s="104"/>
      <c r="Q8" s="104"/>
      <c r="R8" s="104"/>
    </row>
    <row r="10" spans="1:18" ht="28.9">
      <c r="A10" s="30" t="s">
        <v>301</v>
      </c>
      <c r="B10" s="30" t="s">
        <v>302</v>
      </c>
      <c r="C10" t="s">
        <v>131</v>
      </c>
      <c r="D10"/>
      <c r="E10"/>
      <c r="F10"/>
      <c r="G10"/>
      <c r="H10" s="10" t="s">
        <v>109</v>
      </c>
      <c r="I10" s="10" t="s">
        <v>303</v>
      </c>
      <c r="J10" s="36" t="s">
        <v>304</v>
      </c>
      <c r="K10" s="36" t="s">
        <v>305</v>
      </c>
      <c r="L10" s="10" t="s">
        <v>306</v>
      </c>
      <c r="M10" s="10" t="s">
        <v>111</v>
      </c>
      <c r="N10"/>
      <c r="O10"/>
      <c r="P10" s="36" t="s">
        <v>484</v>
      </c>
      <c r="Q10"/>
      <c r="R10"/>
    </row>
    <row r="11" spans="1:18">
      <c r="A11" t="s">
        <v>128</v>
      </c>
      <c r="B11" s="37">
        <v>1.66</v>
      </c>
      <c r="C11" s="37">
        <v>0.91</v>
      </c>
      <c r="D11" s="33">
        <f>3*C11</f>
        <v>2.73</v>
      </c>
      <c r="E11" s="31"/>
      <c r="F11" s="31"/>
      <c r="G11" t="s">
        <v>112</v>
      </c>
      <c r="H11" s="38">
        <f>1/12</f>
        <v>8.3333333333333329E-2</v>
      </c>
      <c r="I11">
        <v>4.8</v>
      </c>
      <c r="J11">
        <v>0.84</v>
      </c>
      <c r="K11" s="39">
        <v>139.30898999999999</v>
      </c>
      <c r="L11" s="40">
        <f t="shared" ref="L11:L21" si="0">K11*J11*365/1000</f>
        <v>42.712136333999993</v>
      </c>
      <c r="M11" s="41">
        <v>0.23</v>
      </c>
      <c r="N11"/>
      <c r="O11" s="42"/>
      <c r="P11" s="38" t="s">
        <v>294</v>
      </c>
      <c r="Q11" t="s">
        <v>295</v>
      </c>
      <c r="R11"/>
    </row>
    <row r="12" spans="1:18">
      <c r="A12" t="s">
        <v>170</v>
      </c>
      <c r="B12">
        <f>B11*1000/$H$25</f>
        <v>24.303570656420458</v>
      </c>
      <c r="C12">
        <f>C11*1000/$H$25</f>
        <v>13.323041745387117</v>
      </c>
      <c r="D12">
        <f>C12*3</f>
        <v>39.969125236161354</v>
      </c>
      <c r="E12"/>
      <c r="F12"/>
      <c r="G12" t="s">
        <v>113</v>
      </c>
      <c r="H12" s="38">
        <f>2/12</f>
        <v>0.16666666666666666</v>
      </c>
      <c r="I12">
        <v>5.9</v>
      </c>
      <c r="J12">
        <v>0.9</v>
      </c>
      <c r="K12" s="39">
        <v>139.30898999999999</v>
      </c>
      <c r="L12" s="40">
        <f t="shared" si="0"/>
        <v>45.763003214999998</v>
      </c>
      <c r="M12" s="41">
        <v>0.23</v>
      </c>
      <c r="N12"/>
      <c r="O12" t="s">
        <v>485</v>
      </c>
      <c r="P12">
        <f>269+94</f>
        <v>363</v>
      </c>
      <c r="Q12">
        <v>77</v>
      </c>
      <c r="R12"/>
    </row>
    <row r="13" spans="1:18">
      <c r="A13"/>
      <c r="B13"/>
      <c r="C13"/>
      <c r="D13"/>
      <c r="E13" s="32"/>
      <c r="F13" s="32"/>
      <c r="G13" t="s">
        <v>114</v>
      </c>
      <c r="H13">
        <f>3/12</f>
        <v>0.25</v>
      </c>
      <c r="I13">
        <v>7.4</v>
      </c>
      <c r="J13">
        <v>1.05</v>
      </c>
      <c r="K13" s="39">
        <v>139.30898999999999</v>
      </c>
      <c r="L13" s="40">
        <f t="shared" si="0"/>
        <v>53.390170417499995</v>
      </c>
      <c r="M13" s="41">
        <v>0.23</v>
      </c>
      <c r="N13"/>
      <c r="O13" t="s">
        <v>486</v>
      </c>
      <c r="P13">
        <f>193+76</f>
        <v>269</v>
      </c>
      <c r="Q13">
        <v>65</v>
      </c>
      <c r="R13"/>
    </row>
    <row r="14" spans="1:18">
      <c r="A14" t="s">
        <v>307</v>
      </c>
      <c r="B14" t="s">
        <v>186</v>
      </c>
      <c r="C14" t="s">
        <v>308</v>
      </c>
      <c r="D14"/>
      <c r="E14"/>
      <c r="F14"/>
      <c r="G14" t="s">
        <v>115</v>
      </c>
      <c r="H14">
        <f>6/12</f>
        <v>0.5</v>
      </c>
      <c r="I14">
        <v>9.1999999999999993</v>
      </c>
      <c r="J14">
        <v>1.05</v>
      </c>
      <c r="K14" s="39">
        <v>139.30898999999999</v>
      </c>
      <c r="L14" s="40">
        <f t="shared" si="0"/>
        <v>53.390170417499995</v>
      </c>
      <c r="M14" s="41">
        <v>0.23</v>
      </c>
      <c r="N14"/>
      <c r="O14" t="s">
        <v>487</v>
      </c>
      <c r="P14">
        <f>132+39</f>
        <v>171</v>
      </c>
      <c r="Q14">
        <v>55</v>
      </c>
      <c r="R14"/>
    </row>
    <row r="15" spans="1:18">
      <c r="A15" t="s">
        <v>309</v>
      </c>
      <c r="B15">
        <v>5</v>
      </c>
      <c r="C15">
        <v>10</v>
      </c>
      <c r="D15"/>
      <c r="E15"/>
      <c r="F15"/>
      <c r="G15" t="s">
        <v>116</v>
      </c>
      <c r="H15">
        <v>1</v>
      </c>
      <c r="I15">
        <v>11.4</v>
      </c>
      <c r="J15">
        <v>0.84</v>
      </c>
      <c r="K15" s="39">
        <v>139.30898999999999</v>
      </c>
      <c r="L15" s="40">
        <f t="shared" si="0"/>
        <v>42.712136333999993</v>
      </c>
      <c r="M15" s="43">
        <v>0.1</v>
      </c>
      <c r="N15"/>
      <c r="O15" t="s">
        <v>488</v>
      </c>
      <c r="P15">
        <f>39+23</f>
        <v>62</v>
      </c>
      <c r="Q15">
        <v>45</v>
      </c>
      <c r="R15"/>
    </row>
    <row r="16" spans="1:18">
      <c r="A16" t="s">
        <v>310</v>
      </c>
      <c r="B16">
        <f>B15*B11</f>
        <v>8.2999999999999989</v>
      </c>
      <c r="C16">
        <f>C15*B11</f>
        <v>16.599999999999998</v>
      </c>
      <c r="D16"/>
      <c r="E16"/>
      <c r="F16"/>
      <c r="G16" t="s">
        <v>117</v>
      </c>
      <c r="H16">
        <v>2</v>
      </c>
      <c r="I16">
        <v>13.8</v>
      </c>
      <c r="J16">
        <v>0.88</v>
      </c>
      <c r="K16" s="39">
        <v>139.30898999999999</v>
      </c>
      <c r="L16" s="40">
        <f t="shared" si="0"/>
        <v>44.746047588000003</v>
      </c>
      <c r="M16" s="43">
        <v>0.1</v>
      </c>
      <c r="N16"/>
      <c r="O16" t="s">
        <v>489</v>
      </c>
      <c r="P16">
        <v>7</v>
      </c>
      <c r="Q16">
        <v>35</v>
      </c>
      <c r="R16"/>
    </row>
    <row r="17" spans="1:18">
      <c r="A17"/>
      <c r="B17"/>
      <c r="C17"/>
      <c r="D17"/>
      <c r="E17"/>
      <c r="F17"/>
      <c r="G17" t="s">
        <v>118</v>
      </c>
      <c r="H17">
        <v>3</v>
      </c>
      <c r="I17">
        <v>18.600000000000001</v>
      </c>
      <c r="J17">
        <v>0.96</v>
      </c>
      <c r="K17" s="39">
        <v>139.30898999999999</v>
      </c>
      <c r="L17" s="40">
        <f t="shared" si="0"/>
        <v>48.813870096000002</v>
      </c>
      <c r="M17" s="43">
        <v>0.1</v>
      </c>
      <c r="N17"/>
      <c r="O17" s="42"/>
      <c r="P17" s="38"/>
      <c r="Q17"/>
      <c r="R17"/>
    </row>
    <row r="18" spans="1:18">
      <c r="A18"/>
      <c r="B18"/>
      <c r="C18"/>
      <c r="D18"/>
      <c r="E18"/>
      <c r="F18"/>
      <c r="G18" t="s">
        <v>119</v>
      </c>
      <c r="H18">
        <v>5</v>
      </c>
      <c r="I18">
        <v>31.8</v>
      </c>
      <c r="J18">
        <v>1.31</v>
      </c>
      <c r="K18" s="39">
        <v>139.30898999999999</v>
      </c>
      <c r="L18" s="40">
        <f t="shared" si="0"/>
        <v>66.610593568499993</v>
      </c>
      <c r="M18" s="43">
        <v>0.1</v>
      </c>
      <c r="N18"/>
      <c r="O18" s="44" t="s">
        <v>300</v>
      </c>
      <c r="P18" s="38">
        <f>SUMPRODUCT(P12:P16,Q12:Q16)/SUM(P12:P16)</f>
        <v>66.371559633027516</v>
      </c>
      <c r="Q18"/>
      <c r="R18"/>
    </row>
    <row r="19" spans="1:18">
      <c r="A19"/>
      <c r="B19"/>
      <c r="C19"/>
      <c r="D19"/>
      <c r="E19"/>
      <c r="F19"/>
      <c r="G19" t="s">
        <v>120</v>
      </c>
      <c r="H19">
        <v>5</v>
      </c>
      <c r="I19">
        <v>56.8</v>
      </c>
      <c r="J19">
        <v>1.82</v>
      </c>
      <c r="K19" s="39">
        <v>139.30898999999999</v>
      </c>
      <c r="L19" s="40">
        <f t="shared" si="0"/>
        <v>92.542962056999997</v>
      </c>
      <c r="M19" s="43">
        <v>0.1</v>
      </c>
      <c r="N19"/>
      <c r="O19"/>
      <c r="P19"/>
      <c r="Q19"/>
      <c r="R19"/>
    </row>
    <row r="20" spans="1:18">
      <c r="A20" t="s">
        <v>311</v>
      </c>
      <c r="B20"/>
      <c r="C20"/>
      <c r="D20"/>
      <c r="E20"/>
      <c r="F20"/>
      <c r="G20" t="s">
        <v>121</v>
      </c>
      <c r="H20">
        <v>5</v>
      </c>
      <c r="I20">
        <v>71.599999999999994</v>
      </c>
      <c r="J20" s="33">
        <v>2.0754999999999999</v>
      </c>
      <c r="K20" s="39">
        <v>139.30898999999999</v>
      </c>
      <c r="L20" s="40">
        <f t="shared" si="0"/>
        <v>105.53457019192498</v>
      </c>
      <c r="M20" s="43">
        <v>0.1</v>
      </c>
      <c r="N20"/>
      <c r="O20"/>
      <c r="P20" s="36" t="s">
        <v>490</v>
      </c>
      <c r="Q20"/>
      <c r="R20"/>
    </row>
    <row r="21" spans="1:18">
      <c r="A21"/>
      <c r="B21"/>
      <c r="C21"/>
      <c r="D21"/>
      <c r="E21"/>
      <c r="F21"/>
      <c r="G21" t="s">
        <v>122</v>
      </c>
      <c r="H21">
        <f>H24-21</f>
        <v>45.371559633027516</v>
      </c>
      <c r="I21">
        <v>80</v>
      </c>
      <c r="J21">
        <v>2.39</v>
      </c>
      <c r="K21" s="39">
        <v>139.30898999999999</v>
      </c>
      <c r="L21" s="40">
        <f t="shared" si="0"/>
        <v>121.5261974265</v>
      </c>
      <c r="M21" s="43">
        <v>0.1</v>
      </c>
      <c r="N21"/>
      <c r="O21" s="42"/>
      <c r="P21" s="38" t="s">
        <v>294</v>
      </c>
      <c r="Q21" t="s">
        <v>295</v>
      </c>
      <c r="R21"/>
    </row>
    <row r="22" spans="1:18">
      <c r="A22" s="30"/>
      <c r="B22"/>
      <c r="C22"/>
      <c r="D22"/>
      <c r="E22"/>
      <c r="F22"/>
      <c r="G22"/>
      <c r="H22"/>
      <c r="I22"/>
      <c r="J22"/>
      <c r="K22"/>
      <c r="L22"/>
      <c r="M22"/>
      <c r="N22"/>
      <c r="O22" t="s">
        <v>485</v>
      </c>
      <c r="P22">
        <v>94</v>
      </c>
      <c r="Q22">
        <v>77</v>
      </c>
      <c r="R22"/>
    </row>
    <row r="23" spans="1:18">
      <c r="A23"/>
      <c r="B23"/>
      <c r="C23"/>
      <c r="D23"/>
      <c r="E23"/>
      <c r="F23"/>
      <c r="G23"/>
      <c r="H23"/>
      <c r="I23"/>
      <c r="J23"/>
      <c r="K23"/>
      <c r="L23"/>
      <c r="M23"/>
      <c r="N23"/>
      <c r="O23" t="s">
        <v>486</v>
      </c>
      <c r="P23">
        <v>76</v>
      </c>
      <c r="Q23">
        <v>65</v>
      </c>
      <c r="R23"/>
    </row>
    <row r="24" spans="1:18">
      <c r="A24"/>
      <c r="B24"/>
      <c r="C24"/>
      <c r="D24"/>
      <c r="E24"/>
      <c r="F24"/>
      <c r="G24" t="s">
        <v>313</v>
      </c>
      <c r="H24" s="38">
        <f>P18</f>
        <v>66.371559633027516</v>
      </c>
      <c r="I24"/>
      <c r="J24"/>
      <c r="K24"/>
      <c r="L24"/>
      <c r="M24"/>
      <c r="N24"/>
      <c r="O24" t="s">
        <v>487</v>
      </c>
      <c r="P24">
        <v>39</v>
      </c>
      <c r="Q24">
        <v>55</v>
      </c>
      <c r="R24"/>
    </row>
    <row r="25" spans="1:18">
      <c r="A25"/>
      <c r="B25"/>
      <c r="C25"/>
      <c r="D25"/>
      <c r="E25"/>
      <c r="F25"/>
      <c r="G25" t="s">
        <v>314</v>
      </c>
      <c r="H25">
        <f>SUMPRODUCT(H11:H21,I11:I21)/H24</f>
        <v>68.302720759324529</v>
      </c>
      <c r="I25"/>
      <c r="J25"/>
      <c r="K25"/>
      <c r="L25"/>
      <c r="M25"/>
      <c r="N25"/>
      <c r="O25" t="s">
        <v>488</v>
      </c>
      <c r="P25">
        <v>23</v>
      </c>
      <c r="Q25">
        <v>45</v>
      </c>
      <c r="R25"/>
    </row>
    <row r="26" spans="1:18">
      <c r="A26"/>
      <c r="B26" s="33"/>
      <c r="C26"/>
      <c r="D26"/>
      <c r="E26"/>
      <c r="F26"/>
      <c r="G26"/>
      <c r="H26"/>
      <c r="I26"/>
      <c r="J26"/>
      <c r="K26"/>
      <c r="L26"/>
      <c r="M26"/>
      <c r="N26"/>
      <c r="O26" t="s">
        <v>489</v>
      </c>
      <c r="P26">
        <v>0</v>
      </c>
      <c r="Q26">
        <v>35</v>
      </c>
      <c r="R26"/>
    </row>
    <row r="27" spans="1:18">
      <c r="A27"/>
      <c r="B27" s="33"/>
      <c r="C27"/>
      <c r="D27"/>
      <c r="E27"/>
      <c r="F27"/>
      <c r="G27"/>
      <c r="H27"/>
      <c r="I27"/>
      <c r="J27"/>
      <c r="K27"/>
      <c r="L27"/>
      <c r="M27"/>
      <c r="N27"/>
      <c r="O27" s="42"/>
      <c r="P27" s="38"/>
      <c r="Q27"/>
      <c r="R27"/>
    </row>
    <row r="28" spans="1:18">
      <c r="A28"/>
      <c r="B28" s="33"/>
      <c r="C28"/>
      <c r="D28"/>
      <c r="E28"/>
      <c r="F28"/>
      <c r="G28"/>
      <c r="H28"/>
      <c r="I28"/>
      <c r="J28"/>
      <c r="K28"/>
      <c r="L28"/>
      <c r="M28"/>
      <c r="N28"/>
      <c r="O28" s="44" t="s">
        <v>300</v>
      </c>
      <c r="P28" s="38">
        <f>SUMPRODUCT(P22:P26,Q22:Q26)/SUM(P22:P26)</f>
        <v>66.198275862068968</v>
      </c>
      <c r="Q28"/>
      <c r="R28"/>
    </row>
    <row r="29" spans="1:18" ht="15" thickBot="1">
      <c r="A29"/>
      <c r="B29" s="33"/>
      <c r="C29"/>
      <c r="D29"/>
      <c r="E29"/>
      <c r="F29"/>
      <c r="G29"/>
      <c r="H29"/>
      <c r="I29"/>
      <c r="J29"/>
      <c r="K29"/>
      <c r="L29"/>
      <c r="M29"/>
      <c r="N29"/>
      <c r="O29"/>
      <c r="P29"/>
      <c r="Q29"/>
      <c r="R29"/>
    </row>
    <row r="30" spans="1:18">
      <c r="A30" s="34"/>
      <c r="B30" s="34"/>
      <c r="C30"/>
      <c r="D30"/>
      <c r="E30"/>
      <c r="F30"/>
      <c r="G30"/>
      <c r="H30"/>
      <c r="I30"/>
      <c r="J30"/>
      <c r="K30"/>
      <c r="L30"/>
      <c r="M30"/>
      <c r="N30"/>
      <c r="O30"/>
      <c r="P30"/>
      <c r="Q30"/>
      <c r="R30"/>
    </row>
  </sheetData>
  <autoFilter ref="A1:I8" xr:uid="{8E9D7E18-A9B3-4191-9DBB-B80908E44EFC}">
    <sortState xmlns:xlrd2="http://schemas.microsoft.com/office/spreadsheetml/2017/richdata2" ref="A2:I8">
      <sortCondition ref="E1:E8"/>
    </sortState>
  </autoFilter>
  <pageMargins left="0.7" right="0.7" top="0.75" bottom="0.75" header="0.3" footer="0.3"/>
  <pageSetup orientation="portrait" r:id="rId1"/>
  <legacy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7CA600-6987-474C-83A0-764E314436E3}">
  <dimension ref="A1:J28"/>
  <sheetViews>
    <sheetView workbookViewId="0">
      <selection activeCell="H7" sqref="H7"/>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28.9">
      <c r="A2" s="104" t="s">
        <v>151</v>
      </c>
      <c r="B2" s="16" t="s">
        <v>28</v>
      </c>
      <c r="C2" s="103" t="s">
        <v>29</v>
      </c>
      <c r="D2" s="2">
        <v>53</v>
      </c>
      <c r="E2" s="103" t="s">
        <v>493</v>
      </c>
      <c r="F2" s="103" t="s">
        <v>153</v>
      </c>
      <c r="G2" s="103" t="s">
        <v>154</v>
      </c>
      <c r="H2" s="103" t="s">
        <v>494</v>
      </c>
      <c r="I2" s="104" t="s">
        <v>495</v>
      </c>
      <c r="J2" s="104"/>
    </row>
    <row r="3" spans="1:10" ht="43.15">
      <c r="A3" s="104" t="s">
        <v>151</v>
      </c>
      <c r="B3" s="16" t="s">
        <v>35</v>
      </c>
      <c r="C3" s="103" t="s">
        <v>36</v>
      </c>
      <c r="D3" s="2">
        <v>19</v>
      </c>
      <c r="E3" s="103" t="s">
        <v>493</v>
      </c>
      <c r="F3" s="103" t="s">
        <v>153</v>
      </c>
      <c r="G3" s="103" t="s">
        <v>154</v>
      </c>
      <c r="H3" s="103" t="s">
        <v>496</v>
      </c>
      <c r="I3" s="104" t="s">
        <v>495</v>
      </c>
      <c r="J3" s="104"/>
    </row>
    <row r="4" spans="1:10" ht="43.15">
      <c r="A4" s="104" t="s">
        <v>151</v>
      </c>
      <c r="B4" s="16" t="s">
        <v>43</v>
      </c>
      <c r="C4" s="103" t="s">
        <v>44</v>
      </c>
      <c r="D4" s="2" t="s">
        <v>158</v>
      </c>
      <c r="E4" s="104" t="s">
        <v>493</v>
      </c>
      <c r="F4" s="104" t="s">
        <v>153</v>
      </c>
      <c r="G4" s="103" t="s">
        <v>154</v>
      </c>
      <c r="H4" s="103" t="s">
        <v>159</v>
      </c>
      <c r="I4" s="104" t="s">
        <v>495</v>
      </c>
      <c r="J4" s="104"/>
    </row>
    <row r="5" spans="1:10" ht="57.6">
      <c r="A5" s="104" t="s">
        <v>151</v>
      </c>
      <c r="B5" s="16" t="s">
        <v>47</v>
      </c>
      <c r="C5" s="103" t="s">
        <v>95</v>
      </c>
      <c r="D5" s="2" t="s">
        <v>160</v>
      </c>
      <c r="E5" s="104" t="s">
        <v>493</v>
      </c>
      <c r="F5" s="104" t="s">
        <v>153</v>
      </c>
      <c r="G5" s="103" t="s">
        <v>154</v>
      </c>
      <c r="H5" s="103" t="s">
        <v>161</v>
      </c>
      <c r="I5" s="104" t="s">
        <v>495</v>
      </c>
      <c r="J5" s="104"/>
    </row>
    <row r="6" spans="1:10" ht="72.599999999999994" customHeight="1">
      <c r="A6" s="104" t="s">
        <v>151</v>
      </c>
      <c r="B6" s="16" t="s">
        <v>162</v>
      </c>
      <c r="C6" s="103" t="s">
        <v>163</v>
      </c>
      <c r="D6" s="10" t="s">
        <v>497</v>
      </c>
      <c r="E6" s="104" t="s">
        <v>493</v>
      </c>
      <c r="F6" s="104" t="s">
        <v>153</v>
      </c>
      <c r="G6" s="104" t="s">
        <v>154</v>
      </c>
      <c r="H6" s="104" t="s">
        <v>498</v>
      </c>
      <c r="I6" s="104" t="s">
        <v>495</v>
      </c>
      <c r="J6" s="104"/>
    </row>
    <row r="7" spans="1:10" ht="57.6">
      <c r="A7" s="104" t="s">
        <v>151</v>
      </c>
      <c r="B7" s="16" t="s">
        <v>51</v>
      </c>
      <c r="C7" s="104" t="s">
        <v>52</v>
      </c>
      <c r="D7" s="10" t="s">
        <v>166</v>
      </c>
      <c r="E7" s="104" t="s">
        <v>493</v>
      </c>
      <c r="F7" s="104" t="s">
        <v>153</v>
      </c>
      <c r="G7" s="104" t="s">
        <v>154</v>
      </c>
      <c r="H7" s="64" t="s">
        <v>343</v>
      </c>
      <c r="I7" s="104" t="s">
        <v>495</v>
      </c>
      <c r="J7" s="104"/>
    </row>
    <row r="9" spans="1:10" customFormat="1">
      <c r="A9" s="73" t="s">
        <v>344</v>
      </c>
      <c r="B9" s="74"/>
      <c r="C9" s="74"/>
      <c r="D9" s="75"/>
    </row>
    <row r="10" spans="1:10" customFormat="1">
      <c r="A10" s="76"/>
      <c r="B10" s="76" t="s">
        <v>184</v>
      </c>
      <c r="C10" s="76" t="s">
        <v>185</v>
      </c>
      <c r="D10" s="76" t="s">
        <v>186</v>
      </c>
    </row>
    <row r="11" spans="1:10" customFormat="1">
      <c r="A11" s="76" t="s">
        <v>187</v>
      </c>
      <c r="B11" s="77">
        <v>0.27272727272727271</v>
      </c>
      <c r="C11" s="77">
        <v>0.3</v>
      </c>
      <c r="D11" s="77">
        <v>0.28636363636363638</v>
      </c>
    </row>
    <row r="12" spans="1:10" customFormat="1">
      <c r="A12" s="76" t="s">
        <v>188</v>
      </c>
      <c r="B12" s="78">
        <v>0.90909090909090906</v>
      </c>
      <c r="C12" s="78">
        <v>1</v>
      </c>
      <c r="D12" s="78">
        <v>0.95454545454545459</v>
      </c>
    </row>
    <row r="13" spans="1:10" customFormat="1">
      <c r="A13" s="76" t="s">
        <v>189</v>
      </c>
      <c r="B13" s="77">
        <v>3.8363636363636364</v>
      </c>
      <c r="C13" s="77">
        <v>4.22</v>
      </c>
      <c r="D13" s="77">
        <v>4.0281818181818183</v>
      </c>
    </row>
    <row r="14" spans="1:10" customFormat="1">
      <c r="A14" s="76" t="s">
        <v>190</v>
      </c>
      <c r="B14" s="78">
        <v>1.8345454545454547</v>
      </c>
      <c r="C14" s="78">
        <v>2.0180000000000002</v>
      </c>
      <c r="D14" s="78">
        <v>1.9262727272727274</v>
      </c>
    </row>
    <row r="15" spans="1:10" customFormat="1"/>
    <row r="16" spans="1:10" customFormat="1" ht="43.15">
      <c r="A16" s="50" t="s">
        <v>173</v>
      </c>
      <c r="B16" s="50" t="s">
        <v>174</v>
      </c>
      <c r="C16" t="s">
        <v>175</v>
      </c>
      <c r="D16" t="s">
        <v>176</v>
      </c>
      <c r="E16" t="s">
        <v>499</v>
      </c>
    </row>
    <row r="17" spans="1:4" customFormat="1">
      <c r="A17" s="35">
        <v>0</v>
      </c>
      <c r="B17">
        <v>0.5717544</v>
      </c>
      <c r="C17">
        <f>82/533</f>
        <v>0.15384615384615385</v>
      </c>
      <c r="D17">
        <f>B17*C17</f>
        <v>8.7962215384615391E-2</v>
      </c>
    </row>
    <row r="18" spans="1:4" customFormat="1">
      <c r="A18" s="91" t="s">
        <v>500</v>
      </c>
      <c r="B18">
        <v>7.2493043999999998</v>
      </c>
      <c r="C18">
        <f>167/533</f>
        <v>0.31332082551594748</v>
      </c>
      <c r="D18">
        <f>B18*C18</f>
        <v>2.2713580390243902</v>
      </c>
    </row>
    <row r="19" spans="1:4" customFormat="1">
      <c r="A19" s="35" t="s">
        <v>501</v>
      </c>
      <c r="B19">
        <v>24.533207399999998</v>
      </c>
      <c r="C19">
        <f>156/533</f>
        <v>0.29268292682926828</v>
      </c>
      <c r="D19">
        <f>B19*C19</f>
        <v>7.1804509463414625</v>
      </c>
    </row>
    <row r="20" spans="1:4" customFormat="1">
      <c r="A20" s="35" t="s">
        <v>502</v>
      </c>
      <c r="B20">
        <v>40.501477899999998</v>
      </c>
      <c r="C20">
        <f>128/533</f>
        <v>0.24015009380863039</v>
      </c>
      <c r="D20">
        <f>B20*C20</f>
        <v>9.7264337170731707</v>
      </c>
    </row>
    <row r="21" spans="1:4" customFormat="1">
      <c r="B21" t="s">
        <v>179</v>
      </c>
      <c r="D21">
        <f>SUM(D17:D20)</f>
        <v>19.266204917823639</v>
      </c>
    </row>
    <row r="22" spans="1:4" customFormat="1"/>
    <row r="23" spans="1:4" customFormat="1">
      <c r="A23" t="s">
        <v>180</v>
      </c>
      <c r="B23" t="s">
        <v>61</v>
      </c>
      <c r="C23" t="s">
        <v>181</v>
      </c>
    </row>
    <row r="24" spans="1:4" customFormat="1">
      <c r="A24">
        <v>35</v>
      </c>
      <c r="B24">
        <v>70</v>
      </c>
      <c r="C24">
        <f>A24*B24/$B$28</f>
        <v>4.5966228893058165</v>
      </c>
    </row>
    <row r="25" spans="1:4" customFormat="1">
      <c r="A25">
        <v>45</v>
      </c>
      <c r="B25">
        <v>118</v>
      </c>
      <c r="C25">
        <f t="shared" ref="C25:C27" si="0">A25*B25/$B$28</f>
        <v>9.9624765478424013</v>
      </c>
    </row>
    <row r="26" spans="1:4" customFormat="1">
      <c r="A26">
        <v>55</v>
      </c>
      <c r="B26">
        <v>217</v>
      </c>
      <c r="C26">
        <f t="shared" si="0"/>
        <v>22.392120075046904</v>
      </c>
    </row>
    <row r="27" spans="1:4" customFormat="1">
      <c r="A27">
        <v>65</v>
      </c>
      <c r="B27">
        <v>128</v>
      </c>
      <c r="C27">
        <f t="shared" si="0"/>
        <v>15.609756097560975</v>
      </c>
    </row>
    <row r="28" spans="1:4" customFormat="1">
      <c r="B28">
        <f>SUM(B24:B27)</f>
        <v>533</v>
      </c>
      <c r="C28">
        <f>SUM(C24:C27)</f>
        <v>52.560975609756099</v>
      </c>
      <c r="D28" t="s">
        <v>376</v>
      </c>
    </row>
  </sheetData>
  <autoFilter ref="A1:I7" xr:uid="{8E9D7E18-A9B3-4191-9DBB-B80908E44EFC}">
    <sortState xmlns:xlrd2="http://schemas.microsoft.com/office/spreadsheetml/2017/richdata2" ref="A2:I7">
      <sortCondition ref="E1:E7"/>
    </sortState>
  </autoFilter>
  <pageMargins left="0.7" right="0.7" top="0.75" bottom="0.75" header="0.3" footer="0.3"/>
  <pageSetup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3F93B-FF7C-4AF1-87DB-B7675B3442F6}">
  <dimension ref="A1:J24"/>
  <sheetViews>
    <sheetView topLeftCell="A4" workbookViewId="0">
      <selection activeCell="A25" sqref="A25"/>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c r="A2" s="104" t="s">
        <v>96</v>
      </c>
      <c r="B2" s="16" t="s">
        <v>28</v>
      </c>
      <c r="C2" s="103" t="s">
        <v>29</v>
      </c>
      <c r="D2" s="2">
        <v>66</v>
      </c>
      <c r="E2" s="103" t="s">
        <v>503</v>
      </c>
      <c r="F2" s="103" t="s">
        <v>504</v>
      </c>
      <c r="G2" s="103" t="s">
        <v>154</v>
      </c>
      <c r="H2" s="103" t="s">
        <v>505</v>
      </c>
      <c r="I2" s="104" t="s">
        <v>506</v>
      </c>
      <c r="J2" s="104"/>
    </row>
    <row r="3" spans="1:10" ht="72.599999999999994" customHeight="1">
      <c r="A3" s="104" t="s">
        <v>96</v>
      </c>
      <c r="B3" s="16" t="s">
        <v>35</v>
      </c>
      <c r="C3" s="103" t="s">
        <v>36</v>
      </c>
      <c r="D3" s="2">
        <v>66</v>
      </c>
      <c r="E3" s="103" t="s">
        <v>503</v>
      </c>
      <c r="F3" s="103" t="s">
        <v>504</v>
      </c>
      <c r="G3" s="103" t="s">
        <v>154</v>
      </c>
      <c r="H3" s="103" t="s">
        <v>507</v>
      </c>
      <c r="I3" s="104" t="s">
        <v>506</v>
      </c>
      <c r="J3" s="104"/>
    </row>
    <row r="4" spans="1:10" ht="72">
      <c r="A4" s="104" t="s">
        <v>96</v>
      </c>
      <c r="B4" s="16" t="s">
        <v>43</v>
      </c>
      <c r="C4" s="103" t="s">
        <v>44</v>
      </c>
      <c r="D4" s="15" t="s">
        <v>196</v>
      </c>
      <c r="E4" s="104" t="s">
        <v>503</v>
      </c>
      <c r="F4" s="103" t="s">
        <v>504</v>
      </c>
      <c r="G4" s="103" t="s">
        <v>154</v>
      </c>
      <c r="H4" s="104" t="s">
        <v>508</v>
      </c>
      <c r="I4" s="104" t="s">
        <v>506</v>
      </c>
      <c r="J4" s="104"/>
    </row>
    <row r="5" spans="1:10" ht="75">
      <c r="A5" s="104" t="s">
        <v>96</v>
      </c>
      <c r="B5" s="16" t="s">
        <v>47</v>
      </c>
      <c r="C5" s="104" t="s">
        <v>48</v>
      </c>
      <c r="D5" s="45" t="s">
        <v>49</v>
      </c>
      <c r="E5" s="104" t="s">
        <v>503</v>
      </c>
      <c r="F5" s="104" t="s">
        <v>504</v>
      </c>
      <c r="G5" s="104" t="s">
        <v>154</v>
      </c>
      <c r="H5" s="29" t="s">
        <v>50</v>
      </c>
      <c r="I5" s="104" t="s">
        <v>506</v>
      </c>
      <c r="J5" s="104"/>
    </row>
    <row r="6" spans="1:10" ht="54" customHeight="1">
      <c r="A6" s="104" t="s">
        <v>96</v>
      </c>
      <c r="B6" s="16" t="s">
        <v>51</v>
      </c>
      <c r="C6" s="104" t="s">
        <v>52</v>
      </c>
      <c r="D6" s="15" t="s">
        <v>166</v>
      </c>
      <c r="E6" s="104" t="s">
        <v>503</v>
      </c>
      <c r="F6" s="104" t="s">
        <v>504</v>
      </c>
      <c r="G6" s="104" t="s">
        <v>154</v>
      </c>
      <c r="H6" s="80" t="s">
        <v>509</v>
      </c>
      <c r="I6" s="104" t="s">
        <v>506</v>
      </c>
      <c r="J6" s="104"/>
    </row>
    <row r="8" spans="1:10">
      <c r="A8" s="30" t="s">
        <v>510</v>
      </c>
      <c r="B8"/>
      <c r="C8" s="103"/>
      <c r="E8" s="103"/>
      <c r="F8" s="103"/>
      <c r="G8" s="103"/>
      <c r="H8" s="103"/>
      <c r="I8" s="103"/>
      <c r="J8" s="104"/>
    </row>
    <row r="9" spans="1:10">
      <c r="A9" t="s">
        <v>203</v>
      </c>
      <c r="B9">
        <v>0.26200000000000001</v>
      </c>
      <c r="C9" s="103"/>
      <c r="E9" s="103"/>
      <c r="F9" s="103"/>
      <c r="G9" s="103"/>
      <c r="H9" s="103"/>
      <c r="I9" s="103"/>
      <c r="J9" s="104"/>
    </row>
    <row r="10" spans="1:10">
      <c r="A10" t="s">
        <v>204</v>
      </c>
      <c r="B10">
        <v>4.1000000000000002E-2</v>
      </c>
      <c r="C10" s="103"/>
      <c r="E10" s="103"/>
      <c r="F10" s="103"/>
      <c r="G10" s="103"/>
      <c r="H10" s="103"/>
      <c r="I10" s="103"/>
      <c r="J10" s="104"/>
    </row>
    <row r="11" spans="1:10">
      <c r="A11" t="s">
        <v>205</v>
      </c>
      <c r="B11">
        <v>0.03</v>
      </c>
      <c r="C11" s="103"/>
      <c r="E11" s="103"/>
      <c r="F11" s="103"/>
      <c r="G11" s="103"/>
      <c r="H11" s="103"/>
      <c r="I11" s="103"/>
      <c r="J11" s="104"/>
    </row>
    <row r="12" spans="1:10">
      <c r="A12" t="s">
        <v>206</v>
      </c>
      <c r="B12" s="33">
        <v>6.0999999999999999E-2</v>
      </c>
      <c r="C12" s="103"/>
      <c r="E12" s="103"/>
      <c r="F12" s="103"/>
      <c r="G12" s="103"/>
      <c r="H12" s="103"/>
      <c r="I12" s="103"/>
      <c r="J12" s="104"/>
    </row>
    <row r="13" spans="1:10">
      <c r="A13" t="s">
        <v>207</v>
      </c>
      <c r="B13" s="33">
        <v>2.9000000000000001E-2</v>
      </c>
      <c r="C13" s="103"/>
      <c r="E13" s="103"/>
      <c r="F13" s="103"/>
      <c r="G13" s="103"/>
      <c r="H13" s="103"/>
      <c r="I13" s="103"/>
      <c r="J13" s="104"/>
    </row>
    <row r="14" spans="1:10">
      <c r="A14" t="s">
        <v>208</v>
      </c>
      <c r="B14" s="33">
        <v>6.0000000000000001E-3</v>
      </c>
      <c r="C14" s="103"/>
      <c r="E14" s="103"/>
      <c r="F14" s="103"/>
      <c r="G14" s="103"/>
      <c r="H14" s="103"/>
      <c r="I14" s="103"/>
      <c r="J14" s="104"/>
    </row>
    <row r="15" spans="1:10" ht="15" thickBot="1">
      <c r="A15" t="s">
        <v>209</v>
      </c>
      <c r="B15" s="33">
        <v>0.22500000000000001</v>
      </c>
      <c r="C15" s="103"/>
      <c r="E15" s="103"/>
      <c r="F15" s="103"/>
      <c r="G15" s="103"/>
      <c r="H15" s="103"/>
      <c r="I15" s="103"/>
      <c r="J15" s="104"/>
    </row>
    <row r="16" spans="1:10">
      <c r="A16" s="34" t="s">
        <v>61</v>
      </c>
      <c r="B16" s="34">
        <f>SUM(B9:B15)</f>
        <v>0.65400000000000003</v>
      </c>
      <c r="C16" s="103"/>
      <c r="E16" s="103"/>
      <c r="F16" s="103"/>
      <c r="G16" s="103"/>
      <c r="H16" s="103"/>
      <c r="I16" s="103"/>
      <c r="J16" s="104"/>
    </row>
    <row r="19" spans="1:10" customFormat="1" ht="16.149999999999999">
      <c r="A19" s="30" t="s">
        <v>168</v>
      </c>
      <c r="B19" s="30" t="s">
        <v>169</v>
      </c>
    </row>
    <row r="20" spans="1:10" customFormat="1">
      <c r="B20" s="31">
        <v>0.01</v>
      </c>
      <c r="C20" s="31">
        <v>0.05</v>
      </c>
      <c r="D20" s="31">
        <v>0.1</v>
      </c>
      <c r="E20" s="31">
        <v>0.25</v>
      </c>
      <c r="F20" s="31">
        <v>0.5</v>
      </c>
      <c r="G20" s="31">
        <v>0.75</v>
      </c>
      <c r="H20" s="31">
        <v>0.9</v>
      </c>
      <c r="I20" s="31">
        <v>0.95</v>
      </c>
      <c r="J20" s="31">
        <v>0.99</v>
      </c>
    </row>
    <row r="21" spans="1:10" customFormat="1">
      <c r="A21" t="s">
        <v>170</v>
      </c>
      <c r="B21">
        <v>5.0999999999999996</v>
      </c>
      <c r="C21">
        <v>10.5</v>
      </c>
      <c r="D21">
        <v>12.7</v>
      </c>
      <c r="E21">
        <v>20.100000000000001</v>
      </c>
      <c r="F21">
        <v>31.1</v>
      </c>
      <c r="G21">
        <v>47.4</v>
      </c>
      <c r="H21">
        <v>62.7</v>
      </c>
      <c r="I21">
        <v>78.2</v>
      </c>
      <c r="J21">
        <v>95.9</v>
      </c>
    </row>
    <row r="22" spans="1:10" customFormat="1">
      <c r="A22" t="s">
        <v>171</v>
      </c>
      <c r="B22">
        <v>319</v>
      </c>
      <c r="C22">
        <v>655</v>
      </c>
      <c r="D22">
        <v>792</v>
      </c>
      <c r="E22" s="32">
        <v>1254</v>
      </c>
      <c r="F22" s="32">
        <v>1941</v>
      </c>
      <c r="G22" s="32">
        <v>2965</v>
      </c>
      <c r="H22" s="32">
        <v>3916</v>
      </c>
      <c r="I22" s="32">
        <v>4885</v>
      </c>
      <c r="J22" s="32">
        <v>5994</v>
      </c>
    </row>
    <row r="23" spans="1:10" customFormat="1"/>
    <row r="24" spans="1:10" customFormat="1">
      <c r="A24" t="s">
        <v>172</v>
      </c>
    </row>
  </sheetData>
  <autoFilter ref="A1:I6" xr:uid="{8E9D7E18-A9B3-4191-9DBB-B80908E44EFC}">
    <sortState xmlns:xlrd2="http://schemas.microsoft.com/office/spreadsheetml/2017/richdata2" ref="A2:I6">
      <sortCondition ref="E1:E6"/>
    </sortState>
  </autoFilter>
  <pageMargins left="0.7" right="0.7" top="0.75" bottom="0.75" header="0.3" footer="0.3"/>
  <pageSetup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12A7F-7AAB-492D-88C4-6FCBEBE3E8B3}">
  <dimension ref="A1:J24"/>
  <sheetViews>
    <sheetView topLeftCell="A3" workbookViewId="0">
      <selection activeCell="C5" sqref="C5"/>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c r="A2" s="104" t="s">
        <v>96</v>
      </c>
      <c r="B2" s="16" t="s">
        <v>28</v>
      </c>
      <c r="C2" s="103" t="s">
        <v>29</v>
      </c>
      <c r="D2" s="2">
        <v>56</v>
      </c>
      <c r="E2" s="103" t="s">
        <v>511</v>
      </c>
      <c r="F2" s="103" t="s">
        <v>504</v>
      </c>
      <c r="G2" s="103" t="s">
        <v>154</v>
      </c>
      <c r="H2" s="103" t="s">
        <v>512</v>
      </c>
      <c r="I2" s="104" t="s">
        <v>513</v>
      </c>
      <c r="J2" s="104"/>
    </row>
    <row r="3" spans="1:10" ht="57.6">
      <c r="A3" s="104" t="s">
        <v>96</v>
      </c>
      <c r="B3" s="16" t="s">
        <v>35</v>
      </c>
      <c r="C3" s="9" t="s">
        <v>36</v>
      </c>
      <c r="D3" s="2">
        <v>56</v>
      </c>
      <c r="E3" s="103" t="s">
        <v>511</v>
      </c>
      <c r="F3" s="9" t="s">
        <v>504</v>
      </c>
      <c r="G3" s="103" t="s">
        <v>154</v>
      </c>
      <c r="H3" s="103" t="s">
        <v>514</v>
      </c>
      <c r="I3" s="104" t="s">
        <v>513</v>
      </c>
      <c r="J3" s="104"/>
    </row>
    <row r="4" spans="1:10" ht="72">
      <c r="A4" s="104" t="s">
        <v>96</v>
      </c>
      <c r="B4" s="16" t="s">
        <v>43</v>
      </c>
      <c r="C4" s="9" t="s">
        <v>44</v>
      </c>
      <c r="D4" s="15" t="s">
        <v>196</v>
      </c>
      <c r="E4" s="104" t="s">
        <v>511</v>
      </c>
      <c r="F4" s="9" t="s">
        <v>504</v>
      </c>
      <c r="G4" s="103" t="s">
        <v>154</v>
      </c>
      <c r="H4" s="104" t="s">
        <v>515</v>
      </c>
      <c r="I4" s="104" t="s">
        <v>513</v>
      </c>
      <c r="J4" s="104"/>
    </row>
    <row r="5" spans="1:10" ht="91.5">
      <c r="A5" s="104" t="s">
        <v>96</v>
      </c>
      <c r="B5" s="16" t="s">
        <v>47</v>
      </c>
      <c r="C5" s="9" t="s">
        <v>95</v>
      </c>
      <c r="D5" s="45" t="s">
        <v>49</v>
      </c>
      <c r="E5" s="104" t="s">
        <v>511</v>
      </c>
      <c r="F5" s="104" t="s">
        <v>504</v>
      </c>
      <c r="G5" s="104" t="s">
        <v>154</v>
      </c>
      <c r="H5" s="29" t="s">
        <v>50</v>
      </c>
      <c r="I5" s="104" t="s">
        <v>513</v>
      </c>
      <c r="J5" s="104"/>
    </row>
    <row r="6" spans="1:10" ht="72">
      <c r="A6" s="104" t="s">
        <v>96</v>
      </c>
      <c r="B6" s="16" t="s">
        <v>51</v>
      </c>
      <c r="C6" s="9" t="s">
        <v>52</v>
      </c>
      <c r="D6" s="15" t="s">
        <v>166</v>
      </c>
      <c r="E6" s="104" t="s">
        <v>511</v>
      </c>
      <c r="F6" s="104" t="s">
        <v>504</v>
      </c>
      <c r="G6" s="104" t="s">
        <v>154</v>
      </c>
      <c r="H6" s="64" t="s">
        <v>509</v>
      </c>
      <c r="I6" s="104" t="s">
        <v>513</v>
      </c>
      <c r="J6" s="104"/>
    </row>
    <row r="8" spans="1:10">
      <c r="A8" s="30" t="s">
        <v>510</v>
      </c>
      <c r="B8"/>
      <c r="C8" s="103"/>
      <c r="E8" s="103"/>
      <c r="F8" s="103"/>
      <c r="G8" s="103"/>
      <c r="H8" s="103"/>
      <c r="I8" s="103"/>
      <c r="J8" s="104"/>
    </row>
    <row r="9" spans="1:10">
      <c r="A9" t="s">
        <v>203</v>
      </c>
      <c r="B9">
        <v>0.26200000000000001</v>
      </c>
      <c r="C9" s="103"/>
      <c r="E9" s="103"/>
      <c r="F9" s="103"/>
      <c r="G9" s="103"/>
      <c r="H9" s="103"/>
      <c r="I9" s="103"/>
      <c r="J9" s="104"/>
    </row>
    <row r="10" spans="1:10">
      <c r="A10" t="s">
        <v>204</v>
      </c>
      <c r="B10">
        <v>4.1000000000000002E-2</v>
      </c>
      <c r="C10" s="103"/>
      <c r="E10" s="103"/>
      <c r="F10" s="103"/>
      <c r="G10" s="103"/>
      <c r="H10" s="103"/>
      <c r="I10" s="103"/>
      <c r="J10" s="104"/>
    </row>
    <row r="11" spans="1:10">
      <c r="A11" t="s">
        <v>205</v>
      </c>
      <c r="B11">
        <v>0.03</v>
      </c>
      <c r="C11" s="103"/>
      <c r="E11" s="103"/>
      <c r="F11" s="103"/>
      <c r="G11" s="103"/>
      <c r="H11" s="103"/>
      <c r="I11" s="103"/>
      <c r="J11" s="104"/>
    </row>
    <row r="12" spans="1:10">
      <c r="A12" t="s">
        <v>206</v>
      </c>
      <c r="B12" s="33">
        <v>6.0999999999999999E-2</v>
      </c>
      <c r="C12" s="103"/>
      <c r="E12" s="103"/>
      <c r="F12" s="103"/>
      <c r="G12" s="103"/>
      <c r="H12" s="103"/>
      <c r="I12" s="103"/>
      <c r="J12" s="104"/>
    </row>
    <row r="13" spans="1:10">
      <c r="A13" t="s">
        <v>207</v>
      </c>
      <c r="B13" s="33">
        <v>2.9000000000000001E-2</v>
      </c>
      <c r="C13" s="103"/>
      <c r="E13" s="103"/>
      <c r="F13" s="103"/>
      <c r="G13" s="103"/>
      <c r="H13" s="103"/>
      <c r="I13" s="103"/>
      <c r="J13" s="104"/>
    </row>
    <row r="14" spans="1:10">
      <c r="A14" t="s">
        <v>208</v>
      </c>
      <c r="B14" s="33">
        <v>6.0000000000000001E-3</v>
      </c>
      <c r="C14" s="103"/>
      <c r="E14" s="103"/>
      <c r="F14" s="103"/>
      <c r="G14" s="103"/>
      <c r="H14" s="103"/>
      <c r="I14" s="103"/>
      <c r="J14" s="104"/>
    </row>
    <row r="15" spans="1:10" ht="15" thickBot="1">
      <c r="A15" t="s">
        <v>209</v>
      </c>
      <c r="B15" s="33">
        <v>0.22500000000000001</v>
      </c>
      <c r="C15" s="103"/>
      <c r="E15" s="103"/>
      <c r="F15" s="103"/>
      <c r="G15" s="103"/>
      <c r="H15" s="103"/>
      <c r="I15" s="103"/>
      <c r="J15" s="104"/>
    </row>
    <row r="16" spans="1:10">
      <c r="A16" s="34" t="s">
        <v>61</v>
      </c>
      <c r="B16" s="34">
        <f>SUM(B9:B15)</f>
        <v>0.65400000000000003</v>
      </c>
      <c r="C16" s="103"/>
      <c r="E16" s="103"/>
      <c r="F16" s="103"/>
      <c r="G16" s="103"/>
      <c r="H16" s="103"/>
      <c r="I16" s="103"/>
      <c r="J16" s="104"/>
    </row>
    <row r="19" spans="1:10" customFormat="1" ht="16.149999999999999">
      <c r="A19" s="30" t="s">
        <v>168</v>
      </c>
      <c r="B19" s="30" t="s">
        <v>169</v>
      </c>
    </row>
    <row r="20" spans="1:10" customFormat="1">
      <c r="B20" s="31">
        <v>0.01</v>
      </c>
      <c r="C20" s="31">
        <v>0.05</v>
      </c>
      <c r="D20" s="31">
        <v>0.1</v>
      </c>
      <c r="E20" s="31">
        <v>0.25</v>
      </c>
      <c r="F20" s="31">
        <v>0.5</v>
      </c>
      <c r="G20" s="31">
        <v>0.75</v>
      </c>
      <c r="H20" s="31">
        <v>0.9</v>
      </c>
      <c r="I20" s="31">
        <v>0.95</v>
      </c>
      <c r="J20" s="31">
        <v>0.99</v>
      </c>
    </row>
    <row r="21" spans="1:10" customFormat="1">
      <c r="A21" t="s">
        <v>170</v>
      </c>
      <c r="B21">
        <v>5.0999999999999996</v>
      </c>
      <c r="C21">
        <v>10.5</v>
      </c>
      <c r="D21">
        <v>12.7</v>
      </c>
      <c r="E21">
        <v>20.100000000000001</v>
      </c>
      <c r="F21">
        <v>31.1</v>
      </c>
      <c r="G21">
        <v>47.4</v>
      </c>
      <c r="H21">
        <v>62.7</v>
      </c>
      <c r="I21">
        <v>78.2</v>
      </c>
      <c r="J21">
        <v>95.9</v>
      </c>
    </row>
    <row r="22" spans="1:10" customFormat="1">
      <c r="A22" t="s">
        <v>171</v>
      </c>
      <c r="B22">
        <v>319</v>
      </c>
      <c r="C22">
        <v>655</v>
      </c>
      <c r="D22">
        <v>792</v>
      </c>
      <c r="E22" s="32">
        <v>1254</v>
      </c>
      <c r="F22" s="32">
        <v>1941</v>
      </c>
      <c r="G22" s="32">
        <v>2965</v>
      </c>
      <c r="H22" s="32">
        <v>3916</v>
      </c>
      <c r="I22" s="32">
        <v>4885</v>
      </c>
      <c r="J22" s="32">
        <v>5994</v>
      </c>
    </row>
    <row r="23" spans="1:10" customFormat="1"/>
    <row r="24" spans="1:10" customFormat="1">
      <c r="A24" t="s">
        <v>172</v>
      </c>
    </row>
  </sheetData>
  <autoFilter ref="A1:I6" xr:uid="{8E9D7E18-A9B3-4191-9DBB-B80908E44EFC}">
    <sortState xmlns:xlrd2="http://schemas.microsoft.com/office/spreadsheetml/2017/richdata2" ref="A2:I6">
      <sortCondition ref="E1:E6"/>
    </sortState>
  </autoFilter>
  <pageMargins left="0.7" right="0.7" top="0.75" bottom="0.75" header="0.3" footer="0.3"/>
  <pageSetup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1DA6FD-28A9-4589-9D74-561563893E68}">
  <dimension ref="A1:J36"/>
  <sheetViews>
    <sheetView topLeftCell="A4" workbookViewId="0">
      <selection activeCell="H4" sqref="H4"/>
    </sheetView>
  </sheetViews>
  <sheetFormatPr defaultColWidth="8.85546875" defaultRowHeight="14.45"/>
  <cols>
    <col min="1" max="1" width="15.140625" style="96" customWidth="1"/>
    <col min="2" max="2" width="8.85546875" style="13" customWidth="1"/>
    <col min="3" max="3" width="26.140625" style="96" customWidth="1"/>
    <col min="4" max="4" width="12.85546875" style="2" customWidth="1"/>
    <col min="5" max="5" width="18" style="96" customWidth="1"/>
    <col min="6" max="6" width="13" style="96" customWidth="1"/>
    <col min="7" max="7" width="19" style="96" customWidth="1"/>
    <col min="8" max="8" width="83.5703125" style="96" customWidth="1"/>
    <col min="9" max="9" width="51.140625" style="96" customWidth="1"/>
    <col min="10" max="10" width="26.5703125" style="97" customWidth="1"/>
    <col min="11" max="16384" width="8.85546875" style="97"/>
  </cols>
  <sheetData>
    <row r="1" spans="1:10" ht="28.9">
      <c r="A1" s="5" t="s">
        <v>0</v>
      </c>
      <c r="B1" s="12" t="s">
        <v>1</v>
      </c>
      <c r="C1" s="6" t="s">
        <v>2</v>
      </c>
      <c r="D1" s="6" t="s">
        <v>3</v>
      </c>
      <c r="E1" s="6" t="s">
        <v>4</v>
      </c>
      <c r="F1" s="6" t="s">
        <v>5</v>
      </c>
      <c r="G1" s="6" t="s">
        <v>6</v>
      </c>
      <c r="H1" s="6" t="s">
        <v>7</v>
      </c>
      <c r="I1" s="7" t="s">
        <v>8</v>
      </c>
      <c r="J1" s="7" t="s">
        <v>9</v>
      </c>
    </row>
    <row r="2" spans="1:10" ht="28.9">
      <c r="A2" s="104" t="s">
        <v>516</v>
      </c>
      <c r="B2" s="13" t="s">
        <v>28</v>
      </c>
      <c r="C2" s="9" t="s">
        <v>29</v>
      </c>
      <c r="D2" s="11">
        <v>65</v>
      </c>
      <c r="E2" s="9" t="s">
        <v>517</v>
      </c>
      <c r="F2" s="104" t="s">
        <v>193</v>
      </c>
      <c r="G2" s="9" t="s">
        <v>518</v>
      </c>
      <c r="H2" s="9" t="s">
        <v>519</v>
      </c>
      <c r="I2" s="104"/>
      <c r="J2" s="104"/>
    </row>
    <row r="3" spans="1:10" ht="28.9">
      <c r="A3" s="104" t="s">
        <v>516</v>
      </c>
      <c r="B3" s="13" t="s">
        <v>35</v>
      </c>
      <c r="C3" s="9" t="s">
        <v>36</v>
      </c>
      <c r="D3" s="11">
        <v>42</v>
      </c>
      <c r="E3" s="9" t="s">
        <v>517</v>
      </c>
      <c r="F3" s="104" t="s">
        <v>193</v>
      </c>
      <c r="G3" s="9" t="s">
        <v>518</v>
      </c>
      <c r="H3" s="21" t="s">
        <v>195</v>
      </c>
      <c r="I3" s="104"/>
      <c r="J3" s="104"/>
    </row>
    <row r="4" spans="1:10" ht="57.6">
      <c r="A4" s="104" t="s">
        <v>516</v>
      </c>
      <c r="B4" s="13" t="s">
        <v>43</v>
      </c>
      <c r="C4" s="9" t="s">
        <v>44</v>
      </c>
      <c r="D4" s="11" t="s">
        <v>196</v>
      </c>
      <c r="E4" s="9" t="s">
        <v>517</v>
      </c>
      <c r="F4" s="104" t="s">
        <v>193</v>
      </c>
      <c r="G4" s="9" t="s">
        <v>518</v>
      </c>
      <c r="H4" s="104" t="s">
        <v>197</v>
      </c>
      <c r="I4" s="104"/>
      <c r="J4" s="104"/>
    </row>
    <row r="5" spans="1:10" ht="43.15">
      <c r="A5" s="104" t="s">
        <v>516</v>
      </c>
      <c r="B5" s="13" t="s">
        <v>47</v>
      </c>
      <c r="C5" s="9" t="s">
        <v>95</v>
      </c>
      <c r="D5" s="11" t="s">
        <v>160</v>
      </c>
      <c r="E5" s="9" t="s">
        <v>517</v>
      </c>
      <c r="F5" s="104" t="s">
        <v>193</v>
      </c>
      <c r="G5" s="9" t="s">
        <v>518</v>
      </c>
      <c r="H5" s="9" t="s">
        <v>198</v>
      </c>
      <c r="I5" s="104"/>
      <c r="J5" s="104"/>
    </row>
    <row r="6" spans="1:10" ht="57.6">
      <c r="A6" s="104" t="s">
        <v>516</v>
      </c>
      <c r="B6" s="13" t="s">
        <v>162</v>
      </c>
      <c r="C6" s="9" t="s">
        <v>163</v>
      </c>
      <c r="D6" s="11" t="s">
        <v>199</v>
      </c>
      <c r="E6" s="9" t="s">
        <v>517</v>
      </c>
      <c r="F6" s="104" t="s">
        <v>193</v>
      </c>
      <c r="G6" s="9" t="s">
        <v>518</v>
      </c>
      <c r="H6" s="9" t="s">
        <v>200</v>
      </c>
      <c r="I6" s="104"/>
      <c r="J6" s="104"/>
    </row>
    <row r="7" spans="1:10" ht="57.6">
      <c r="A7" s="104" t="s">
        <v>516</v>
      </c>
      <c r="B7" s="13" t="s">
        <v>51</v>
      </c>
      <c r="C7" s="9" t="s">
        <v>52</v>
      </c>
      <c r="D7" s="11" t="s">
        <v>166</v>
      </c>
      <c r="E7" s="9" t="s">
        <v>517</v>
      </c>
      <c r="F7" s="104" t="s">
        <v>193</v>
      </c>
      <c r="G7" s="9" t="s">
        <v>518</v>
      </c>
      <c r="H7" s="80" t="s">
        <v>201</v>
      </c>
      <c r="I7" s="104"/>
      <c r="J7" s="104"/>
    </row>
    <row r="9" spans="1:10">
      <c r="A9" s="30" t="s">
        <v>202</v>
      </c>
      <c r="B9"/>
      <c r="C9"/>
      <c r="D9"/>
      <c r="E9"/>
      <c r="F9"/>
      <c r="G9" s="103"/>
      <c r="H9" s="103"/>
      <c r="I9" s="103"/>
      <c r="J9" s="104"/>
    </row>
    <row r="10" spans="1:10">
      <c r="A10" t="s">
        <v>203</v>
      </c>
      <c r="B10">
        <v>0.26200000000000001</v>
      </c>
      <c r="C10"/>
      <c r="D10"/>
      <c r="E10"/>
      <c r="F10"/>
      <c r="G10" s="103"/>
      <c r="H10" s="103"/>
      <c r="I10" s="103"/>
      <c r="J10" s="104"/>
    </row>
    <row r="11" spans="1:10">
      <c r="A11" t="s">
        <v>204</v>
      </c>
      <c r="B11">
        <v>4.1000000000000002E-2</v>
      </c>
      <c r="C11"/>
      <c r="D11"/>
      <c r="E11"/>
      <c r="F11"/>
      <c r="G11" s="103"/>
      <c r="H11" s="103"/>
      <c r="I11" s="103"/>
      <c r="J11" s="104"/>
    </row>
    <row r="12" spans="1:10">
      <c r="A12" t="s">
        <v>205</v>
      </c>
      <c r="B12">
        <v>0.03</v>
      </c>
      <c r="C12"/>
      <c r="D12"/>
      <c r="E12"/>
      <c r="F12"/>
      <c r="G12" s="103"/>
      <c r="H12" s="103"/>
      <c r="I12" s="103"/>
      <c r="J12" s="104"/>
    </row>
    <row r="13" spans="1:10">
      <c r="A13" t="s">
        <v>206</v>
      </c>
      <c r="B13" s="33">
        <v>6.0999999999999999E-2</v>
      </c>
      <c r="C13"/>
      <c r="D13"/>
      <c r="E13"/>
      <c r="F13"/>
      <c r="G13" s="103"/>
      <c r="H13" s="103"/>
      <c r="I13" s="103"/>
      <c r="J13" s="104"/>
    </row>
    <row r="14" spans="1:10">
      <c r="A14" t="s">
        <v>207</v>
      </c>
      <c r="B14" s="33">
        <v>2.9000000000000001E-2</v>
      </c>
      <c r="C14"/>
      <c r="D14"/>
      <c r="E14"/>
      <c r="F14"/>
      <c r="G14" s="103"/>
      <c r="H14" s="103"/>
      <c r="I14" s="103"/>
      <c r="J14" s="104"/>
    </row>
    <row r="15" spans="1:10">
      <c r="A15" t="s">
        <v>208</v>
      </c>
      <c r="B15" s="33">
        <v>6.0000000000000001E-3</v>
      </c>
      <c r="C15"/>
      <c r="D15"/>
      <c r="E15"/>
      <c r="F15"/>
      <c r="G15" s="103"/>
      <c r="H15" s="103"/>
      <c r="I15" s="103"/>
      <c r="J15" s="104"/>
    </row>
    <row r="16" spans="1:10" ht="15" thickBot="1">
      <c r="A16" t="s">
        <v>209</v>
      </c>
      <c r="B16" s="33">
        <v>0.22500000000000001</v>
      </c>
      <c r="C16"/>
      <c r="D16"/>
      <c r="E16"/>
      <c r="F16"/>
      <c r="G16" s="103"/>
      <c r="H16" s="103"/>
      <c r="I16" s="103"/>
      <c r="J16" s="104"/>
    </row>
    <row r="17" spans="1:10">
      <c r="A17" s="34" t="s">
        <v>61</v>
      </c>
      <c r="B17" s="34">
        <f>SUM(B10:B16)</f>
        <v>0.65400000000000003</v>
      </c>
      <c r="C17"/>
      <c r="D17"/>
      <c r="E17"/>
      <c r="F17"/>
      <c r="G17" s="103"/>
      <c r="H17" s="103"/>
      <c r="I17" s="103"/>
      <c r="J17" s="104"/>
    </row>
    <row r="18" spans="1:10">
      <c r="A18" s="35"/>
      <c r="B18" s="35"/>
      <c r="C18"/>
      <c r="D18"/>
      <c r="E18"/>
      <c r="F18"/>
      <c r="G18" s="103"/>
      <c r="H18" s="103"/>
      <c r="I18" s="103"/>
      <c r="J18" s="104"/>
    </row>
    <row r="19" spans="1:10">
      <c r="A19" t="s">
        <v>210</v>
      </c>
      <c r="B19"/>
      <c r="C19"/>
      <c r="D19"/>
      <c r="E19"/>
      <c r="F19"/>
      <c r="G19" s="103"/>
      <c r="H19" s="103"/>
      <c r="I19" s="103"/>
      <c r="J19" s="104"/>
    </row>
    <row r="20" spans="1:10">
      <c r="A20"/>
      <c r="B20"/>
      <c r="C20"/>
      <c r="D20"/>
      <c r="E20"/>
      <c r="F20"/>
      <c r="G20" s="103"/>
      <c r="H20" s="103"/>
      <c r="I20" s="103"/>
      <c r="J20" s="104"/>
    </row>
    <row r="21" spans="1:10">
      <c r="A21" t="s">
        <v>211</v>
      </c>
      <c r="B21"/>
      <c r="C21"/>
      <c r="D21"/>
      <c r="E21"/>
      <c r="F21"/>
      <c r="G21" s="103"/>
      <c r="H21" s="103"/>
      <c r="I21" s="103"/>
      <c r="J21" s="104"/>
    </row>
    <row r="22" spans="1:10">
      <c r="A22" t="s">
        <v>212</v>
      </c>
      <c r="B22"/>
      <c r="C22"/>
      <c r="D22"/>
      <c r="E22"/>
      <c r="F22"/>
      <c r="G22" s="103"/>
      <c r="H22" s="103"/>
      <c r="I22" s="103"/>
      <c r="J22" s="104"/>
    </row>
    <row r="23" spans="1:10">
      <c r="A23"/>
      <c r="B23"/>
      <c r="C23"/>
      <c r="D23"/>
      <c r="E23"/>
      <c r="F23"/>
      <c r="G23" s="103"/>
      <c r="H23" s="103"/>
      <c r="I23" s="103"/>
      <c r="J23" s="104"/>
    </row>
    <row r="24" spans="1:10">
      <c r="A24" t="s">
        <v>213</v>
      </c>
      <c r="B24"/>
      <c r="C24"/>
      <c r="D24"/>
      <c r="E24"/>
      <c r="F24"/>
      <c r="G24" s="103"/>
      <c r="H24" s="103"/>
      <c r="I24" s="103"/>
      <c r="J24" s="104"/>
    </row>
    <row r="25" spans="1:10">
      <c r="A25" t="s">
        <v>214</v>
      </c>
      <c r="B25"/>
      <c r="C25"/>
      <c r="D25"/>
      <c r="E25"/>
      <c r="F25"/>
      <c r="G25" s="103"/>
      <c r="H25" s="103"/>
      <c r="I25" s="103"/>
      <c r="J25" s="104"/>
    </row>
    <row r="26" spans="1:10">
      <c r="A26"/>
      <c r="B26"/>
      <c r="C26"/>
      <c r="D26"/>
      <c r="E26"/>
      <c r="F26"/>
      <c r="G26" s="103"/>
      <c r="H26" s="103"/>
      <c r="I26" s="103"/>
      <c r="J26" s="104"/>
    </row>
    <row r="27" spans="1:10">
      <c r="A27" t="s">
        <v>215</v>
      </c>
      <c r="B27"/>
      <c r="C27"/>
      <c r="D27"/>
      <c r="E27"/>
      <c r="F27"/>
      <c r="G27" s="103"/>
      <c r="H27" s="103"/>
      <c r="I27" s="103"/>
      <c r="J27" s="104"/>
    </row>
    <row r="28" spans="1:10">
      <c r="A28" t="s">
        <v>216</v>
      </c>
      <c r="B28"/>
      <c r="C28"/>
      <c r="D28"/>
      <c r="E28"/>
      <c r="F28"/>
      <c r="G28" s="103"/>
      <c r="H28" s="103"/>
      <c r="I28" s="103"/>
      <c r="J28" s="104"/>
    </row>
    <row r="29" spans="1:10">
      <c r="A29" t="s">
        <v>217</v>
      </c>
      <c r="B29"/>
      <c r="C29"/>
      <c r="D29"/>
      <c r="E29"/>
      <c r="F29"/>
      <c r="G29" s="103"/>
      <c r="H29" s="103"/>
      <c r="I29" s="103"/>
      <c r="J29" s="104"/>
    </row>
    <row r="31" spans="1:10" ht="30.6">
      <c r="A31" s="60" t="s">
        <v>218</v>
      </c>
      <c r="B31" s="30" t="s">
        <v>169</v>
      </c>
      <c r="C31"/>
      <c r="D31"/>
      <c r="E31"/>
      <c r="F31"/>
      <c r="G31"/>
      <c r="H31"/>
      <c r="I31"/>
      <c r="J31"/>
    </row>
    <row r="32" spans="1:10">
      <c r="A32"/>
      <c r="B32" s="31">
        <v>0.01</v>
      </c>
      <c r="C32" s="31">
        <v>0.05</v>
      </c>
      <c r="D32" s="31">
        <v>0.1</v>
      </c>
      <c r="E32" s="31">
        <v>0.25</v>
      </c>
      <c r="F32" s="31">
        <v>0.5</v>
      </c>
      <c r="G32" s="31">
        <v>0.75</v>
      </c>
      <c r="H32" s="31">
        <v>0.9</v>
      </c>
      <c r="I32" s="31">
        <v>0.95</v>
      </c>
      <c r="J32" s="31">
        <v>0.99</v>
      </c>
    </row>
    <row r="33" spans="1:10">
      <c r="A33" t="s">
        <v>170</v>
      </c>
      <c r="B33">
        <v>5.0999999999999996</v>
      </c>
      <c r="C33">
        <v>10.5</v>
      </c>
      <c r="D33">
        <v>12.7</v>
      </c>
      <c r="E33">
        <v>20.100000000000001</v>
      </c>
      <c r="F33">
        <v>31.1</v>
      </c>
      <c r="G33">
        <v>47.4</v>
      </c>
      <c r="H33">
        <v>62.7</v>
      </c>
      <c r="I33">
        <v>78.2</v>
      </c>
      <c r="J33">
        <v>95.9</v>
      </c>
    </row>
    <row r="34" spans="1:10">
      <c r="A34" t="s">
        <v>171</v>
      </c>
      <c r="B34">
        <v>319</v>
      </c>
      <c r="C34">
        <v>655</v>
      </c>
      <c r="D34">
        <v>792</v>
      </c>
      <c r="E34" s="32">
        <v>1254</v>
      </c>
      <c r="F34" s="32">
        <v>1941</v>
      </c>
      <c r="G34" s="32">
        <v>2965</v>
      </c>
      <c r="H34" s="32">
        <v>3916</v>
      </c>
      <c r="I34" s="32">
        <v>4885</v>
      </c>
      <c r="J34" s="32">
        <v>5994</v>
      </c>
    </row>
    <row r="35" spans="1:10">
      <c r="A35"/>
      <c r="B35"/>
      <c r="C35"/>
      <c r="D35"/>
      <c r="E35"/>
      <c r="F35"/>
      <c r="G35"/>
      <c r="H35"/>
      <c r="I35"/>
      <c r="J35"/>
    </row>
    <row r="36" spans="1:10">
      <c r="A36" t="s">
        <v>219</v>
      </c>
      <c r="B36"/>
      <c r="C36"/>
      <c r="D36"/>
      <c r="E36"/>
      <c r="F36"/>
      <c r="G36"/>
      <c r="H36"/>
      <c r="I36"/>
      <c r="J36"/>
    </row>
  </sheetData>
  <autoFilter ref="A1:I7" xr:uid="{8E9D7E18-A9B3-4191-9DBB-B80908E44EFC}">
    <sortState xmlns:xlrd2="http://schemas.microsoft.com/office/spreadsheetml/2017/richdata2" ref="A2:I7">
      <sortCondition ref="E1:E7"/>
    </sortState>
  </autoFilter>
  <pageMargins left="0.7" right="0.7" top="0.75" bottom="0.75" header="0.3" footer="0.3"/>
  <pageSetup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36002C-3EA8-481D-A365-46F9BE071592}">
  <dimension ref="A1:J21"/>
  <sheetViews>
    <sheetView topLeftCell="A4" workbookViewId="0">
      <selection activeCell="A22" sqref="A22"/>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43.15">
      <c r="A2" s="104" t="s">
        <v>151</v>
      </c>
      <c r="B2" s="16" t="s">
        <v>28</v>
      </c>
      <c r="C2" s="9" t="s">
        <v>29</v>
      </c>
      <c r="D2" s="2">
        <v>55</v>
      </c>
      <c r="E2" s="103" t="s">
        <v>520</v>
      </c>
      <c r="F2" s="103" t="s">
        <v>153</v>
      </c>
      <c r="G2" s="103" t="s">
        <v>154</v>
      </c>
      <c r="H2" s="103" t="s">
        <v>521</v>
      </c>
      <c r="I2" s="104" t="s">
        <v>522</v>
      </c>
      <c r="J2" s="104"/>
    </row>
    <row r="3" spans="1:10" ht="43.15">
      <c r="A3" s="104" t="s">
        <v>151</v>
      </c>
      <c r="B3" s="16" t="s">
        <v>35</v>
      </c>
      <c r="C3" s="103" t="s">
        <v>36</v>
      </c>
      <c r="D3" s="2">
        <v>17.5</v>
      </c>
      <c r="E3" s="103" t="s">
        <v>520</v>
      </c>
      <c r="F3" s="103" t="s">
        <v>153</v>
      </c>
      <c r="G3" s="103" t="s">
        <v>154</v>
      </c>
      <c r="H3" s="103" t="s">
        <v>523</v>
      </c>
      <c r="I3" s="104" t="s">
        <v>522</v>
      </c>
      <c r="J3" s="104"/>
    </row>
    <row r="4" spans="1:10" ht="43.15">
      <c r="A4" s="104" t="s">
        <v>151</v>
      </c>
      <c r="B4" s="16" t="s">
        <v>43</v>
      </c>
      <c r="C4" s="103" t="s">
        <v>44</v>
      </c>
      <c r="D4" s="10" t="s">
        <v>158</v>
      </c>
      <c r="E4" s="104" t="s">
        <v>520</v>
      </c>
      <c r="F4" s="104" t="s">
        <v>153</v>
      </c>
      <c r="G4" s="103" t="s">
        <v>154</v>
      </c>
      <c r="H4" s="104" t="s">
        <v>159</v>
      </c>
      <c r="I4" s="104" t="s">
        <v>522</v>
      </c>
      <c r="J4" s="104"/>
    </row>
    <row r="5" spans="1:10" ht="57.6">
      <c r="A5" s="104" t="s">
        <v>151</v>
      </c>
      <c r="B5" s="16" t="s">
        <v>47</v>
      </c>
      <c r="C5" s="104" t="s">
        <v>95</v>
      </c>
      <c r="D5" s="10" t="s">
        <v>160</v>
      </c>
      <c r="E5" s="104" t="s">
        <v>520</v>
      </c>
      <c r="F5" s="104" t="s">
        <v>153</v>
      </c>
      <c r="G5" s="104" t="s">
        <v>154</v>
      </c>
      <c r="H5" s="103" t="s">
        <v>161</v>
      </c>
      <c r="I5" s="104" t="s">
        <v>522</v>
      </c>
      <c r="J5" s="104"/>
    </row>
    <row r="6" spans="1:10" ht="57.6">
      <c r="A6" s="104" t="s">
        <v>151</v>
      </c>
      <c r="B6" s="16" t="s">
        <v>162</v>
      </c>
      <c r="C6" s="103" t="s">
        <v>163</v>
      </c>
      <c r="D6" s="10" t="s">
        <v>524</v>
      </c>
      <c r="E6" s="104" t="s">
        <v>520</v>
      </c>
      <c r="F6" s="104" t="s">
        <v>153</v>
      </c>
      <c r="G6" s="104" t="s">
        <v>154</v>
      </c>
      <c r="H6" s="104" t="s">
        <v>342</v>
      </c>
      <c r="I6" s="104" t="s">
        <v>522</v>
      </c>
      <c r="J6" s="104"/>
    </row>
    <row r="7" spans="1:10" ht="57.6">
      <c r="A7" s="104" t="s">
        <v>151</v>
      </c>
      <c r="B7" s="16" t="s">
        <v>51</v>
      </c>
      <c r="C7" s="104" t="s">
        <v>52</v>
      </c>
      <c r="D7" s="10" t="s">
        <v>166</v>
      </c>
      <c r="E7" s="104" t="s">
        <v>520</v>
      </c>
      <c r="F7" s="104" t="s">
        <v>153</v>
      </c>
      <c r="G7" s="104" t="s">
        <v>154</v>
      </c>
      <c r="H7" s="64" t="s">
        <v>343</v>
      </c>
      <c r="I7" s="104" t="s">
        <v>522</v>
      </c>
      <c r="J7" s="104"/>
    </row>
    <row r="9" spans="1:10">
      <c r="A9" s="82" t="s">
        <v>344</v>
      </c>
      <c r="B9" s="74"/>
      <c r="C9" s="74"/>
      <c r="D9" s="75"/>
      <c r="E9"/>
      <c r="F9" s="103"/>
      <c r="G9" s="103"/>
      <c r="H9" s="103"/>
      <c r="I9" s="103"/>
      <c r="J9" s="104"/>
    </row>
    <row r="10" spans="1:10">
      <c r="A10" s="76"/>
      <c r="B10" s="76" t="s">
        <v>184</v>
      </c>
      <c r="C10" s="76" t="s">
        <v>185</v>
      </c>
      <c r="D10" s="76" t="s">
        <v>186</v>
      </c>
      <c r="E10"/>
      <c r="F10" s="103"/>
      <c r="G10" s="103"/>
      <c r="H10" s="103"/>
      <c r="I10" s="103"/>
      <c r="J10" s="104"/>
    </row>
    <row r="11" spans="1:10">
      <c r="A11" s="76" t="s">
        <v>187</v>
      </c>
      <c r="B11" s="77">
        <v>0.27272727272727271</v>
      </c>
      <c r="C11" s="77">
        <v>0.3</v>
      </c>
      <c r="D11" s="77">
        <v>0.28636363636363638</v>
      </c>
      <c r="E11"/>
      <c r="F11" s="103"/>
      <c r="G11" s="103"/>
      <c r="H11" s="103"/>
      <c r="I11" s="103"/>
      <c r="J11" s="104"/>
    </row>
    <row r="12" spans="1:10">
      <c r="A12" s="76" t="s">
        <v>188</v>
      </c>
      <c r="B12" s="78">
        <v>0.90909090909090906</v>
      </c>
      <c r="C12" s="78">
        <v>1</v>
      </c>
      <c r="D12" s="78">
        <v>0.95454545454545459</v>
      </c>
      <c r="E12"/>
      <c r="F12" s="103"/>
      <c r="G12" s="103"/>
      <c r="H12" s="103"/>
      <c r="I12" s="103"/>
      <c r="J12" s="104"/>
    </row>
    <row r="13" spans="1:10">
      <c r="A13" s="76" t="s">
        <v>189</v>
      </c>
      <c r="B13" s="77">
        <v>3.8363636363636364</v>
      </c>
      <c r="C13" s="77">
        <v>4.22</v>
      </c>
      <c r="D13" s="77">
        <v>4.0281818181818183</v>
      </c>
      <c r="E13"/>
      <c r="F13" s="103"/>
      <c r="G13" s="103"/>
      <c r="H13" s="103"/>
      <c r="I13" s="103"/>
      <c r="J13" s="104"/>
    </row>
    <row r="14" spans="1:10">
      <c r="A14" s="76" t="s">
        <v>190</v>
      </c>
      <c r="B14" s="78">
        <v>1.8345454545454547</v>
      </c>
      <c r="C14" s="78">
        <v>2.0180000000000002</v>
      </c>
      <c r="D14" s="78">
        <v>1.9262727272727274</v>
      </c>
      <c r="E14"/>
      <c r="F14" s="103"/>
      <c r="G14" s="103"/>
      <c r="H14" s="103"/>
      <c r="I14" s="103"/>
      <c r="J14" s="104"/>
    </row>
    <row r="15" spans="1:10">
      <c r="A15"/>
      <c r="B15"/>
      <c r="C15"/>
      <c r="D15"/>
      <c r="E15"/>
      <c r="F15" s="103"/>
      <c r="G15" s="103"/>
      <c r="H15" s="103"/>
      <c r="I15" s="103"/>
      <c r="J15" s="104"/>
    </row>
    <row r="16" spans="1:10" customFormat="1" ht="16.149999999999999">
      <c r="A16" s="30" t="s">
        <v>168</v>
      </c>
      <c r="B16" s="30" t="s">
        <v>169</v>
      </c>
    </row>
    <row r="17" spans="1:10" customFormat="1">
      <c r="B17" s="31">
        <v>0.01</v>
      </c>
      <c r="C17" s="31">
        <v>0.05</v>
      </c>
      <c r="D17" s="31">
        <v>0.1</v>
      </c>
      <c r="E17" s="31">
        <v>0.25</v>
      </c>
      <c r="F17" s="31">
        <v>0.5</v>
      </c>
      <c r="G17" s="31">
        <v>0.75</v>
      </c>
      <c r="H17" s="31">
        <v>0.9</v>
      </c>
      <c r="I17" s="31">
        <v>0.95</v>
      </c>
      <c r="J17" s="31">
        <v>0.99</v>
      </c>
    </row>
    <row r="18" spans="1:10" customFormat="1">
      <c r="A18" t="s">
        <v>170</v>
      </c>
      <c r="B18">
        <v>5.0999999999999996</v>
      </c>
      <c r="C18">
        <v>10.5</v>
      </c>
      <c r="D18">
        <v>12.7</v>
      </c>
      <c r="E18">
        <v>20.100000000000001</v>
      </c>
      <c r="F18">
        <v>31.1</v>
      </c>
      <c r="G18">
        <v>47.4</v>
      </c>
      <c r="H18">
        <v>62.7</v>
      </c>
      <c r="I18">
        <v>78.2</v>
      </c>
      <c r="J18">
        <v>95.9</v>
      </c>
    </row>
    <row r="19" spans="1:10" customFormat="1">
      <c r="A19" t="s">
        <v>171</v>
      </c>
      <c r="B19">
        <v>319</v>
      </c>
      <c r="C19">
        <v>655</v>
      </c>
      <c r="D19">
        <v>792</v>
      </c>
      <c r="E19" s="32">
        <v>1254</v>
      </c>
      <c r="F19" s="32">
        <v>1941</v>
      </c>
      <c r="G19" s="32">
        <v>2965</v>
      </c>
      <c r="H19" s="32">
        <v>3916</v>
      </c>
      <c r="I19" s="32">
        <v>4885</v>
      </c>
      <c r="J19" s="32">
        <v>5994</v>
      </c>
    </row>
    <row r="20" spans="1:10" customFormat="1"/>
    <row r="21" spans="1:10" customFormat="1">
      <c r="A21" t="s">
        <v>172</v>
      </c>
    </row>
  </sheetData>
  <autoFilter ref="A1:I7" xr:uid="{8E9D7E18-A9B3-4191-9DBB-B80908E44EFC}">
    <sortState xmlns:xlrd2="http://schemas.microsoft.com/office/spreadsheetml/2017/richdata2" ref="A2:I7">
      <sortCondition ref="E1:E7"/>
    </sortState>
  </autoFilter>
  <pageMargins left="0.7" right="0.7" top="0.75" bottom="0.75" header="0.3" footer="0.3"/>
  <pageSetup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8126A7-7D32-4ACB-9509-53E249E19F87}">
  <dimension ref="A1:J36"/>
  <sheetViews>
    <sheetView topLeftCell="A2" workbookViewId="0">
      <selection activeCell="H3" sqref="H3"/>
    </sheetView>
  </sheetViews>
  <sheetFormatPr defaultColWidth="8.85546875" defaultRowHeight="14.45"/>
  <cols>
    <col min="1" max="1" width="15.140625" style="96" customWidth="1"/>
    <col min="2" max="2" width="8.85546875" style="13" customWidth="1"/>
    <col min="3" max="3" width="26.140625" style="96" customWidth="1"/>
    <col min="4" max="4" width="12.85546875" style="2" customWidth="1"/>
    <col min="5" max="5" width="18" style="96" customWidth="1"/>
    <col min="6" max="6" width="13" style="96" customWidth="1"/>
    <col min="7" max="7" width="19" style="96" customWidth="1"/>
    <col min="8" max="8" width="83.5703125" style="96" customWidth="1"/>
    <col min="9" max="9" width="51.140625" style="96" customWidth="1"/>
    <col min="10" max="10" width="26.5703125" style="97" customWidth="1"/>
    <col min="11" max="16384" width="8.85546875" style="97"/>
  </cols>
  <sheetData>
    <row r="1" spans="1:10" ht="28.9">
      <c r="A1" s="5" t="s">
        <v>0</v>
      </c>
      <c r="B1" s="12" t="s">
        <v>1</v>
      </c>
      <c r="C1" s="6" t="s">
        <v>2</v>
      </c>
      <c r="D1" s="6" t="s">
        <v>3</v>
      </c>
      <c r="E1" s="6" t="s">
        <v>4</v>
      </c>
      <c r="F1" s="6" t="s">
        <v>5</v>
      </c>
      <c r="G1" s="6" t="s">
        <v>6</v>
      </c>
      <c r="H1" s="6" t="s">
        <v>7</v>
      </c>
      <c r="I1" s="7" t="s">
        <v>8</v>
      </c>
      <c r="J1" s="7" t="s">
        <v>9</v>
      </c>
    </row>
    <row r="2" spans="1:10" ht="43.15">
      <c r="A2" s="104" t="s">
        <v>525</v>
      </c>
      <c r="B2" s="13" t="s">
        <v>28</v>
      </c>
      <c r="C2" s="9" t="s">
        <v>29</v>
      </c>
      <c r="D2" s="11">
        <v>65</v>
      </c>
      <c r="E2" s="9" t="s">
        <v>526</v>
      </c>
      <c r="F2" s="104" t="s">
        <v>193</v>
      </c>
      <c r="G2" s="9" t="s">
        <v>518</v>
      </c>
      <c r="H2" s="9" t="s">
        <v>527</v>
      </c>
      <c r="I2" s="104"/>
      <c r="J2" s="104"/>
    </row>
    <row r="3" spans="1:10" ht="72">
      <c r="A3" s="104" t="s">
        <v>525</v>
      </c>
      <c r="B3" s="13" t="s">
        <v>35</v>
      </c>
      <c r="C3" s="9" t="s">
        <v>36</v>
      </c>
      <c r="D3" s="11">
        <v>42</v>
      </c>
      <c r="E3" s="9" t="s">
        <v>526</v>
      </c>
      <c r="F3" s="104" t="s">
        <v>193</v>
      </c>
      <c r="G3" s="9" t="s">
        <v>518</v>
      </c>
      <c r="H3" s="21" t="s">
        <v>528</v>
      </c>
      <c r="I3" s="104"/>
      <c r="J3" s="104"/>
    </row>
    <row r="4" spans="1:10" ht="57.6">
      <c r="A4" s="104" t="s">
        <v>525</v>
      </c>
      <c r="B4" s="13" t="s">
        <v>43</v>
      </c>
      <c r="C4" s="9" t="s">
        <v>44</v>
      </c>
      <c r="D4" s="11" t="s">
        <v>196</v>
      </c>
      <c r="E4" s="9" t="s">
        <v>526</v>
      </c>
      <c r="F4" s="104" t="s">
        <v>193</v>
      </c>
      <c r="G4" s="9" t="s">
        <v>518</v>
      </c>
      <c r="H4" s="104" t="s">
        <v>197</v>
      </c>
      <c r="I4" s="104"/>
      <c r="J4" s="104"/>
    </row>
    <row r="5" spans="1:10" ht="43.15">
      <c r="A5" s="104" t="s">
        <v>525</v>
      </c>
      <c r="B5" s="13" t="s">
        <v>47</v>
      </c>
      <c r="C5" s="9" t="s">
        <v>95</v>
      </c>
      <c r="D5" s="11" t="s">
        <v>160</v>
      </c>
      <c r="E5" s="9" t="s">
        <v>526</v>
      </c>
      <c r="F5" s="104" t="s">
        <v>193</v>
      </c>
      <c r="G5" s="9" t="s">
        <v>518</v>
      </c>
      <c r="H5" s="9" t="s">
        <v>198</v>
      </c>
      <c r="I5" s="104"/>
      <c r="J5" s="104"/>
    </row>
    <row r="6" spans="1:10" ht="60.75">
      <c r="A6" s="104" t="s">
        <v>525</v>
      </c>
      <c r="B6" s="13" t="s">
        <v>162</v>
      </c>
      <c r="C6" s="9" t="s">
        <v>163</v>
      </c>
      <c r="D6" s="11" t="s">
        <v>199</v>
      </c>
      <c r="E6" s="9" t="s">
        <v>526</v>
      </c>
      <c r="F6" s="104" t="s">
        <v>193</v>
      </c>
      <c r="G6" s="9" t="s">
        <v>518</v>
      </c>
      <c r="H6" s="9" t="s">
        <v>529</v>
      </c>
      <c r="I6" s="104"/>
      <c r="J6" s="104"/>
    </row>
    <row r="7" spans="1:10" ht="57.6">
      <c r="A7" s="104" t="s">
        <v>525</v>
      </c>
      <c r="B7" s="13" t="s">
        <v>51</v>
      </c>
      <c r="C7" s="9" t="s">
        <v>52</v>
      </c>
      <c r="D7" s="11" t="s">
        <v>166</v>
      </c>
      <c r="E7" s="9" t="s">
        <v>526</v>
      </c>
      <c r="F7" s="104" t="s">
        <v>193</v>
      </c>
      <c r="G7" s="9" t="s">
        <v>518</v>
      </c>
      <c r="H7" s="80" t="s">
        <v>201</v>
      </c>
      <c r="I7" s="104"/>
      <c r="J7" s="104"/>
    </row>
    <row r="9" spans="1:10">
      <c r="A9" s="30" t="s">
        <v>202</v>
      </c>
      <c r="B9"/>
      <c r="C9"/>
      <c r="D9"/>
      <c r="E9"/>
      <c r="F9"/>
      <c r="G9" s="103"/>
      <c r="H9" s="103"/>
      <c r="I9" s="103"/>
      <c r="J9" s="104"/>
    </row>
    <row r="10" spans="1:10">
      <c r="A10" t="s">
        <v>203</v>
      </c>
      <c r="B10">
        <v>0.26200000000000001</v>
      </c>
      <c r="C10"/>
      <c r="D10"/>
      <c r="E10"/>
      <c r="F10"/>
      <c r="G10" s="103"/>
      <c r="H10" s="103"/>
      <c r="I10" s="103"/>
      <c r="J10" s="104"/>
    </row>
    <row r="11" spans="1:10">
      <c r="A11" t="s">
        <v>204</v>
      </c>
      <c r="B11">
        <v>4.1000000000000002E-2</v>
      </c>
      <c r="C11"/>
      <c r="D11"/>
      <c r="E11"/>
      <c r="F11"/>
      <c r="G11" s="103"/>
      <c r="H11" s="103"/>
      <c r="I11" s="103"/>
      <c r="J11" s="104"/>
    </row>
    <row r="12" spans="1:10">
      <c r="A12" t="s">
        <v>205</v>
      </c>
      <c r="B12">
        <v>0.03</v>
      </c>
      <c r="C12"/>
      <c r="D12"/>
      <c r="E12"/>
      <c r="F12"/>
      <c r="G12" s="103"/>
      <c r="H12" s="103"/>
      <c r="I12" s="103"/>
      <c r="J12" s="104"/>
    </row>
    <row r="13" spans="1:10">
      <c r="A13" t="s">
        <v>206</v>
      </c>
      <c r="B13" s="33">
        <v>6.0999999999999999E-2</v>
      </c>
      <c r="C13"/>
      <c r="D13"/>
      <c r="E13"/>
      <c r="F13"/>
      <c r="G13" s="103"/>
      <c r="H13" s="103"/>
      <c r="I13" s="103"/>
      <c r="J13" s="104"/>
    </row>
    <row r="14" spans="1:10">
      <c r="A14" t="s">
        <v>207</v>
      </c>
      <c r="B14" s="33">
        <v>2.9000000000000001E-2</v>
      </c>
      <c r="C14"/>
      <c r="D14"/>
      <c r="E14"/>
      <c r="F14"/>
      <c r="G14" s="103"/>
      <c r="H14" s="103"/>
      <c r="I14" s="103"/>
      <c r="J14" s="104"/>
    </row>
    <row r="15" spans="1:10">
      <c r="A15" t="s">
        <v>208</v>
      </c>
      <c r="B15" s="33">
        <v>6.0000000000000001E-3</v>
      </c>
      <c r="C15"/>
      <c r="D15"/>
      <c r="E15"/>
      <c r="F15"/>
      <c r="G15" s="103"/>
      <c r="H15" s="103"/>
      <c r="I15" s="103"/>
      <c r="J15" s="104"/>
    </row>
    <row r="16" spans="1:10" ht="15" thickBot="1">
      <c r="A16" t="s">
        <v>209</v>
      </c>
      <c r="B16" s="33">
        <v>0.22500000000000001</v>
      </c>
      <c r="C16"/>
      <c r="D16"/>
      <c r="E16"/>
      <c r="F16"/>
      <c r="G16" s="103"/>
      <c r="H16" s="103"/>
      <c r="I16" s="103"/>
      <c r="J16" s="104"/>
    </row>
    <row r="17" spans="1:10">
      <c r="A17" s="34" t="s">
        <v>61</v>
      </c>
      <c r="B17" s="34">
        <f>SUM(B10:B16)</f>
        <v>0.65400000000000003</v>
      </c>
      <c r="C17"/>
      <c r="D17"/>
      <c r="E17"/>
      <c r="F17"/>
      <c r="G17" s="103"/>
      <c r="H17" s="103"/>
      <c r="I17" s="103"/>
      <c r="J17" s="104"/>
    </row>
    <row r="18" spans="1:10">
      <c r="A18" s="35"/>
      <c r="B18" s="35"/>
      <c r="C18"/>
      <c r="D18"/>
      <c r="E18"/>
      <c r="F18"/>
      <c r="G18" s="103"/>
      <c r="H18" s="103"/>
      <c r="I18" s="103"/>
      <c r="J18" s="104"/>
    </row>
    <row r="19" spans="1:10">
      <c r="A19" t="s">
        <v>210</v>
      </c>
      <c r="B19"/>
      <c r="C19"/>
      <c r="D19"/>
      <c r="E19"/>
      <c r="F19"/>
      <c r="G19" s="103"/>
      <c r="H19" s="103"/>
      <c r="I19" s="103"/>
      <c r="J19" s="104"/>
    </row>
    <row r="20" spans="1:10">
      <c r="A20"/>
      <c r="B20"/>
      <c r="C20"/>
      <c r="D20"/>
      <c r="E20"/>
      <c r="F20"/>
      <c r="G20" s="103"/>
      <c r="H20" s="103"/>
      <c r="I20" s="103"/>
      <c r="J20" s="104"/>
    </row>
    <row r="21" spans="1:10">
      <c r="A21" t="s">
        <v>211</v>
      </c>
      <c r="B21"/>
      <c r="C21"/>
      <c r="D21"/>
      <c r="E21"/>
      <c r="F21"/>
      <c r="G21" s="103"/>
      <c r="H21" s="103"/>
      <c r="I21" s="103"/>
      <c r="J21" s="104"/>
    </row>
    <row r="22" spans="1:10">
      <c r="A22" t="s">
        <v>212</v>
      </c>
      <c r="B22"/>
      <c r="C22"/>
      <c r="D22"/>
      <c r="E22"/>
      <c r="F22"/>
      <c r="G22" s="103"/>
      <c r="H22" s="103"/>
      <c r="I22" s="103"/>
      <c r="J22" s="104"/>
    </row>
    <row r="23" spans="1:10">
      <c r="A23"/>
      <c r="B23"/>
      <c r="C23"/>
      <c r="D23"/>
      <c r="E23"/>
      <c r="F23"/>
      <c r="G23" s="103"/>
      <c r="H23" s="103"/>
      <c r="I23" s="103"/>
      <c r="J23" s="104"/>
    </row>
    <row r="24" spans="1:10">
      <c r="A24" t="s">
        <v>213</v>
      </c>
      <c r="B24"/>
      <c r="C24"/>
      <c r="D24"/>
      <c r="E24"/>
      <c r="F24"/>
      <c r="G24" s="103"/>
      <c r="H24" s="103"/>
      <c r="I24" s="103"/>
      <c r="J24" s="104"/>
    </row>
    <row r="25" spans="1:10">
      <c r="A25" t="s">
        <v>214</v>
      </c>
      <c r="B25"/>
      <c r="C25"/>
      <c r="D25"/>
      <c r="E25"/>
      <c r="F25"/>
      <c r="G25" s="103"/>
      <c r="H25" s="103"/>
      <c r="I25" s="103"/>
      <c r="J25" s="104"/>
    </row>
    <row r="26" spans="1:10">
      <c r="A26"/>
      <c r="B26"/>
      <c r="C26"/>
      <c r="D26"/>
      <c r="E26"/>
      <c r="F26"/>
      <c r="G26" s="103"/>
      <c r="H26" s="103"/>
      <c r="I26" s="103"/>
      <c r="J26" s="104"/>
    </row>
    <row r="27" spans="1:10">
      <c r="A27" t="s">
        <v>215</v>
      </c>
      <c r="B27"/>
      <c r="C27"/>
      <c r="D27"/>
      <c r="E27"/>
      <c r="F27"/>
      <c r="G27" s="103"/>
      <c r="H27" s="103"/>
      <c r="I27" s="103"/>
      <c r="J27" s="104"/>
    </row>
    <row r="28" spans="1:10">
      <c r="A28" t="s">
        <v>216</v>
      </c>
      <c r="B28"/>
      <c r="C28"/>
      <c r="D28"/>
      <c r="E28"/>
      <c r="F28"/>
      <c r="G28" s="103"/>
      <c r="H28" s="103"/>
      <c r="I28" s="103"/>
      <c r="J28" s="104"/>
    </row>
    <row r="29" spans="1:10">
      <c r="A29" t="s">
        <v>217</v>
      </c>
      <c r="B29"/>
      <c r="C29"/>
      <c r="D29"/>
      <c r="E29"/>
      <c r="F29"/>
      <c r="G29" s="103"/>
      <c r="H29" s="103"/>
      <c r="I29" s="103"/>
      <c r="J29" s="104"/>
    </row>
    <row r="31" spans="1:10" ht="30.6">
      <c r="A31" s="60" t="s">
        <v>218</v>
      </c>
      <c r="B31" s="30" t="s">
        <v>169</v>
      </c>
      <c r="C31"/>
      <c r="D31"/>
      <c r="E31"/>
      <c r="F31"/>
      <c r="G31"/>
      <c r="H31"/>
      <c r="I31"/>
      <c r="J31"/>
    </row>
    <row r="32" spans="1:10">
      <c r="A32"/>
      <c r="B32" s="31">
        <v>0.01</v>
      </c>
      <c r="C32" s="31">
        <v>0.05</v>
      </c>
      <c r="D32" s="31">
        <v>0.1</v>
      </c>
      <c r="E32" s="31">
        <v>0.25</v>
      </c>
      <c r="F32" s="31">
        <v>0.5</v>
      </c>
      <c r="G32" s="31">
        <v>0.75</v>
      </c>
      <c r="H32" s="31">
        <v>0.9</v>
      </c>
      <c r="I32" s="31">
        <v>0.95</v>
      </c>
      <c r="J32" s="31">
        <v>0.99</v>
      </c>
    </row>
    <row r="33" spans="1:10">
      <c r="A33" t="s">
        <v>170</v>
      </c>
      <c r="B33">
        <v>5.0999999999999996</v>
      </c>
      <c r="C33">
        <v>10.5</v>
      </c>
      <c r="D33">
        <v>12.7</v>
      </c>
      <c r="E33">
        <v>20.100000000000001</v>
      </c>
      <c r="F33">
        <v>31.1</v>
      </c>
      <c r="G33">
        <v>47.4</v>
      </c>
      <c r="H33">
        <v>62.7</v>
      </c>
      <c r="I33">
        <v>78.2</v>
      </c>
      <c r="J33">
        <v>95.9</v>
      </c>
    </row>
    <row r="34" spans="1:10">
      <c r="A34" t="s">
        <v>171</v>
      </c>
      <c r="B34">
        <v>319</v>
      </c>
      <c r="C34">
        <v>655</v>
      </c>
      <c r="D34">
        <v>792</v>
      </c>
      <c r="E34" s="32">
        <v>1254</v>
      </c>
      <c r="F34" s="32">
        <v>1941</v>
      </c>
      <c r="G34" s="32">
        <v>2965</v>
      </c>
      <c r="H34" s="32">
        <v>3916</v>
      </c>
      <c r="I34" s="32">
        <v>4885</v>
      </c>
      <c r="J34" s="32">
        <v>5994</v>
      </c>
    </row>
    <row r="35" spans="1:10">
      <c r="A35"/>
      <c r="B35"/>
      <c r="C35"/>
      <c r="D35"/>
      <c r="E35"/>
      <c r="F35"/>
      <c r="G35"/>
      <c r="H35"/>
      <c r="I35"/>
      <c r="J35"/>
    </row>
    <row r="36" spans="1:10">
      <c r="A36" t="s">
        <v>219</v>
      </c>
      <c r="B36"/>
      <c r="C36"/>
      <c r="D36"/>
      <c r="E36"/>
      <c r="F36"/>
      <c r="G36"/>
      <c r="H36"/>
      <c r="I36"/>
      <c r="J36"/>
    </row>
  </sheetData>
  <autoFilter ref="A1:I7" xr:uid="{8E9D7E18-A9B3-4191-9DBB-B80908E44EFC}">
    <sortState xmlns:xlrd2="http://schemas.microsoft.com/office/spreadsheetml/2017/richdata2" ref="A2:I7">
      <sortCondition ref="E1:E7"/>
    </sortState>
  </autoFilter>
  <phoneticPr fontId="18" type="noConversion"/>
  <pageMargins left="0.7" right="0.7" top="0.75" bottom="0.75" header="0.3" footer="0.3"/>
  <pageSetup orientation="portrait"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19A7B8-6F97-4D50-B2C5-AE3883FFE4CC}">
  <dimension ref="A1:J29"/>
  <sheetViews>
    <sheetView tabSelected="1" topLeftCell="A3" workbookViewId="0">
      <selection activeCell="C5" sqref="C5"/>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28.9">
      <c r="A2" s="104" t="s">
        <v>96</v>
      </c>
      <c r="B2" s="16" t="s">
        <v>28</v>
      </c>
      <c r="C2" s="103" t="s">
        <v>29</v>
      </c>
      <c r="D2" s="2">
        <v>68</v>
      </c>
      <c r="E2" s="103" t="s">
        <v>530</v>
      </c>
      <c r="F2" s="103" t="s">
        <v>531</v>
      </c>
      <c r="G2" s="103" t="s">
        <v>154</v>
      </c>
      <c r="H2" s="103" t="s">
        <v>532</v>
      </c>
      <c r="I2" s="104" t="s">
        <v>533</v>
      </c>
      <c r="J2" s="104"/>
    </row>
    <row r="3" spans="1:10" ht="100.9">
      <c r="A3" s="104" t="s">
        <v>96</v>
      </c>
      <c r="B3" s="16" t="s">
        <v>35</v>
      </c>
      <c r="C3" s="103" t="s">
        <v>36</v>
      </c>
      <c r="D3" s="2">
        <v>65</v>
      </c>
      <c r="E3" s="103" t="s">
        <v>530</v>
      </c>
      <c r="F3" s="103" t="s">
        <v>531</v>
      </c>
      <c r="G3" s="103" t="s">
        <v>154</v>
      </c>
      <c r="H3" s="9" t="s">
        <v>534</v>
      </c>
      <c r="I3" s="104" t="s">
        <v>533</v>
      </c>
      <c r="J3" s="104"/>
    </row>
    <row r="4" spans="1:10" ht="57.6">
      <c r="A4" s="104" t="s">
        <v>96</v>
      </c>
      <c r="B4" s="16" t="s">
        <v>43</v>
      </c>
      <c r="C4" s="9" t="s">
        <v>44</v>
      </c>
      <c r="D4" s="19" t="s">
        <v>196</v>
      </c>
      <c r="E4" s="104" t="s">
        <v>530</v>
      </c>
      <c r="F4" s="103" t="s">
        <v>531</v>
      </c>
      <c r="G4" s="9" t="s">
        <v>154</v>
      </c>
      <c r="H4" s="9" t="s">
        <v>535</v>
      </c>
      <c r="I4" s="104" t="s">
        <v>533</v>
      </c>
      <c r="J4" s="104"/>
    </row>
    <row r="5" spans="1:10" ht="60.75">
      <c r="A5" s="104" t="s">
        <v>96</v>
      </c>
      <c r="B5" s="16" t="s">
        <v>47</v>
      </c>
      <c r="C5" s="104" t="s">
        <v>95</v>
      </c>
      <c r="D5" s="45" t="s">
        <v>160</v>
      </c>
      <c r="E5" s="104" t="s">
        <v>530</v>
      </c>
      <c r="F5" s="103" t="s">
        <v>531</v>
      </c>
      <c r="G5" s="104" t="s">
        <v>154</v>
      </c>
      <c r="H5" s="103" t="s">
        <v>198</v>
      </c>
      <c r="I5" s="104" t="s">
        <v>533</v>
      </c>
      <c r="J5" s="104"/>
    </row>
    <row r="6" spans="1:10" ht="72.599999999999994" customHeight="1">
      <c r="A6" s="104" t="s">
        <v>96</v>
      </c>
      <c r="B6" s="16" t="s">
        <v>51</v>
      </c>
      <c r="C6" s="104" t="s">
        <v>52</v>
      </c>
      <c r="D6" s="15" t="s">
        <v>166</v>
      </c>
      <c r="E6" s="104" t="s">
        <v>530</v>
      </c>
      <c r="F6" s="103" t="s">
        <v>531</v>
      </c>
      <c r="G6" s="104" t="s">
        <v>154</v>
      </c>
      <c r="H6" s="80" t="s">
        <v>536</v>
      </c>
      <c r="I6" s="104" t="s">
        <v>533</v>
      </c>
      <c r="J6" s="104"/>
    </row>
    <row r="8" spans="1:10">
      <c r="A8" t="s">
        <v>537</v>
      </c>
      <c r="B8" t="s">
        <v>59</v>
      </c>
      <c r="C8" t="s">
        <v>60</v>
      </c>
      <c r="D8" t="s">
        <v>61</v>
      </c>
      <c r="E8" t="s">
        <v>181</v>
      </c>
      <c r="F8"/>
      <c r="G8" s="103"/>
      <c r="H8" s="103"/>
      <c r="I8" s="103"/>
      <c r="J8" s="104"/>
    </row>
    <row r="9" spans="1:10">
      <c r="A9">
        <v>50</v>
      </c>
      <c r="B9">
        <v>25</v>
      </c>
      <c r="C9">
        <v>70</v>
      </c>
      <c r="D9">
        <f>B9+C9</f>
        <v>95</v>
      </c>
      <c r="E9">
        <f>A9*D9/$D$12</f>
        <v>9.3873517786561269</v>
      </c>
      <c r="F9"/>
      <c r="G9" s="103"/>
      <c r="H9" s="103"/>
      <c r="I9" s="103"/>
      <c r="J9" s="104"/>
    </row>
    <row r="10" spans="1:10">
      <c r="A10">
        <v>60</v>
      </c>
      <c r="B10">
        <v>94</v>
      </c>
      <c r="C10">
        <v>117</v>
      </c>
      <c r="D10">
        <f t="shared" ref="D10:D11" si="0">B10+C10</f>
        <v>211</v>
      </c>
      <c r="E10">
        <f t="shared" ref="E10:E11" si="1">A10*D10/$D$12</f>
        <v>25.019762845849801</v>
      </c>
      <c r="F10"/>
      <c r="G10" s="103"/>
      <c r="H10" s="103"/>
      <c r="I10" s="103"/>
      <c r="J10" s="104"/>
    </row>
    <row r="11" spans="1:10">
      <c r="A11">
        <v>70</v>
      </c>
      <c r="B11">
        <v>131</v>
      </c>
      <c r="C11">
        <v>69</v>
      </c>
      <c r="D11">
        <f t="shared" si="0"/>
        <v>200</v>
      </c>
      <c r="E11">
        <f t="shared" si="1"/>
        <v>27.66798418972332</v>
      </c>
      <c r="F11"/>
      <c r="G11" s="103"/>
      <c r="H11" s="103"/>
      <c r="I11" s="103"/>
      <c r="J11" s="104"/>
    </row>
    <row r="12" spans="1:10">
      <c r="A12"/>
      <c r="B12"/>
      <c r="C12"/>
      <c r="D12">
        <f>SUM(D9:D11)</f>
        <v>506</v>
      </c>
      <c r="E12">
        <f>SUM(E9:E11)</f>
        <v>62.07509881422925</v>
      </c>
      <c r="F12" t="s">
        <v>376</v>
      </c>
      <c r="G12" s="103"/>
      <c r="H12" s="103"/>
      <c r="I12" s="103"/>
      <c r="J12" s="104"/>
    </row>
    <row r="13" spans="1:10">
      <c r="A13" s="30" t="s">
        <v>510</v>
      </c>
      <c r="B13"/>
      <c r="C13"/>
      <c r="D13"/>
      <c r="E13"/>
      <c r="F13"/>
      <c r="G13" s="103"/>
      <c r="H13" s="103"/>
      <c r="I13" s="103"/>
      <c r="J13" s="104"/>
    </row>
    <row r="14" spans="1:10">
      <c r="A14" t="s">
        <v>203</v>
      </c>
      <c r="B14">
        <v>0.26200000000000001</v>
      </c>
      <c r="C14"/>
      <c r="D14"/>
      <c r="E14"/>
      <c r="F14"/>
      <c r="G14" s="103"/>
      <c r="H14" s="103"/>
      <c r="I14" s="103"/>
      <c r="J14" s="104"/>
    </row>
    <row r="15" spans="1:10">
      <c r="A15" t="s">
        <v>204</v>
      </c>
      <c r="B15">
        <v>4.1000000000000002E-2</v>
      </c>
      <c r="C15"/>
      <c r="D15"/>
      <c r="E15"/>
      <c r="F15"/>
      <c r="G15" s="103"/>
      <c r="H15" s="103"/>
      <c r="I15" s="103"/>
      <c r="J15" s="104"/>
    </row>
    <row r="16" spans="1:10">
      <c r="A16" t="s">
        <v>205</v>
      </c>
      <c r="B16">
        <v>0.03</v>
      </c>
      <c r="C16"/>
      <c r="D16"/>
      <c r="E16"/>
      <c r="F16"/>
      <c r="G16" s="103"/>
      <c r="H16" s="103"/>
      <c r="I16" s="103"/>
      <c r="J16" s="104"/>
    </row>
    <row r="17" spans="1:10">
      <c r="A17" t="s">
        <v>206</v>
      </c>
      <c r="B17" s="33">
        <v>6.0999999999999999E-2</v>
      </c>
      <c r="C17"/>
      <c r="D17"/>
      <c r="E17"/>
      <c r="F17"/>
      <c r="G17" s="103"/>
      <c r="H17" s="103"/>
      <c r="I17" s="103"/>
      <c r="J17" s="104"/>
    </row>
    <row r="18" spans="1:10">
      <c r="A18" t="s">
        <v>207</v>
      </c>
      <c r="B18" s="33">
        <v>2.9000000000000001E-2</v>
      </c>
      <c r="C18"/>
      <c r="D18"/>
      <c r="E18"/>
      <c r="F18"/>
      <c r="G18" s="103"/>
      <c r="H18" s="103"/>
      <c r="I18" s="103"/>
      <c r="J18" s="104"/>
    </row>
    <row r="19" spans="1:10">
      <c r="A19" t="s">
        <v>208</v>
      </c>
      <c r="B19" s="33">
        <v>6.0000000000000001E-3</v>
      </c>
      <c r="C19"/>
      <c r="D19"/>
      <c r="E19"/>
      <c r="F19"/>
      <c r="G19" s="103"/>
      <c r="H19" s="103"/>
      <c r="I19" s="103"/>
      <c r="J19" s="104"/>
    </row>
    <row r="20" spans="1:10" ht="15" thickBot="1">
      <c r="A20" t="s">
        <v>209</v>
      </c>
      <c r="B20" s="33">
        <v>0.22500000000000001</v>
      </c>
      <c r="C20"/>
      <c r="D20"/>
      <c r="E20"/>
      <c r="F20"/>
      <c r="G20" s="103"/>
      <c r="H20" s="103"/>
      <c r="I20" s="103"/>
      <c r="J20" s="104"/>
    </row>
    <row r="21" spans="1:10">
      <c r="A21" s="34" t="s">
        <v>61</v>
      </c>
      <c r="B21" s="34">
        <f>SUM(B14:B20)</f>
        <v>0.65400000000000003</v>
      </c>
      <c r="C21"/>
      <c r="D21"/>
      <c r="E21"/>
      <c r="F21"/>
      <c r="G21" s="103"/>
      <c r="H21" s="103"/>
      <c r="I21" s="103"/>
      <c r="J21" s="104"/>
    </row>
    <row r="24" spans="1:10" customFormat="1" ht="16.149999999999999">
      <c r="A24" s="30" t="s">
        <v>538</v>
      </c>
      <c r="B24" s="30" t="s">
        <v>169</v>
      </c>
    </row>
    <row r="25" spans="1:10" customFormat="1">
      <c r="B25" s="31">
        <v>0.01</v>
      </c>
      <c r="C25" s="31">
        <v>0.05</v>
      </c>
      <c r="D25" s="31">
        <v>0.1</v>
      </c>
      <c r="E25" s="31">
        <v>0.25</v>
      </c>
      <c r="F25" s="31">
        <v>0.5</v>
      </c>
      <c r="G25" s="31">
        <v>0.75</v>
      </c>
      <c r="H25" s="31">
        <v>0.9</v>
      </c>
      <c r="I25" s="31">
        <v>0.95</v>
      </c>
      <c r="J25" s="31">
        <v>0.99</v>
      </c>
    </row>
    <row r="26" spans="1:10" customFormat="1">
      <c r="A26" t="s">
        <v>170</v>
      </c>
      <c r="B26">
        <v>5.0999999999999996</v>
      </c>
      <c r="C26">
        <v>10.5</v>
      </c>
      <c r="D26">
        <v>12.7</v>
      </c>
      <c r="E26">
        <v>20.100000000000001</v>
      </c>
      <c r="F26">
        <v>31.1</v>
      </c>
      <c r="G26">
        <v>47.4</v>
      </c>
      <c r="H26">
        <v>62.7</v>
      </c>
      <c r="I26">
        <v>78.2</v>
      </c>
      <c r="J26">
        <v>95.9</v>
      </c>
    </row>
    <row r="27" spans="1:10" customFormat="1">
      <c r="A27" t="s">
        <v>171</v>
      </c>
      <c r="B27">
        <v>319</v>
      </c>
      <c r="C27">
        <v>655</v>
      </c>
      <c r="D27">
        <v>792</v>
      </c>
      <c r="E27" s="32">
        <v>1254</v>
      </c>
      <c r="F27" s="32">
        <v>1941</v>
      </c>
      <c r="G27" s="32">
        <v>2965</v>
      </c>
      <c r="H27" s="32">
        <v>3916</v>
      </c>
      <c r="I27" s="32">
        <v>4885</v>
      </c>
      <c r="J27" s="32">
        <v>5994</v>
      </c>
    </row>
    <row r="28" spans="1:10" customFormat="1"/>
    <row r="29" spans="1:10" customFormat="1">
      <c r="A29" t="s">
        <v>539</v>
      </c>
    </row>
  </sheetData>
  <autoFilter ref="A1:I6" xr:uid="{8E9D7E18-A9B3-4191-9DBB-B80908E44EFC}">
    <sortState xmlns:xlrd2="http://schemas.microsoft.com/office/spreadsheetml/2017/richdata2" ref="A2:I6">
      <sortCondition ref="E1:E6"/>
    </sortState>
  </autoFilter>
  <pageMargins left="0.7" right="0.7" top="0.75" bottom="0.75" header="0.3" footer="0.3"/>
  <pageSetup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D3329-8AA3-4611-97C6-C7CFF619D103}">
  <dimension ref="A1:J23"/>
  <sheetViews>
    <sheetView workbookViewId="0">
      <selection activeCell="H5" sqref="H5"/>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s="26" customFormat="1" ht="43.15">
      <c r="A2" s="104" t="s">
        <v>96</v>
      </c>
      <c r="B2" s="16" t="s">
        <v>28</v>
      </c>
      <c r="C2" s="103" t="s">
        <v>29</v>
      </c>
      <c r="D2" s="2">
        <v>55</v>
      </c>
      <c r="E2" s="103" t="s">
        <v>530</v>
      </c>
      <c r="F2" s="103" t="s">
        <v>153</v>
      </c>
      <c r="G2" s="103" t="s">
        <v>154</v>
      </c>
      <c r="H2" s="103" t="s">
        <v>521</v>
      </c>
      <c r="I2" s="104" t="s">
        <v>540</v>
      </c>
      <c r="J2" s="26" t="s">
        <v>275</v>
      </c>
    </row>
    <row r="3" spans="1:10" ht="43.15">
      <c r="A3" s="104" t="s">
        <v>96</v>
      </c>
      <c r="B3" s="16" t="s">
        <v>35</v>
      </c>
      <c r="C3" s="103" t="s">
        <v>36</v>
      </c>
      <c r="D3" s="2">
        <v>20</v>
      </c>
      <c r="E3" s="103" t="s">
        <v>530</v>
      </c>
      <c r="F3" s="103" t="s">
        <v>153</v>
      </c>
      <c r="G3" s="103" t="s">
        <v>154</v>
      </c>
      <c r="H3" s="103" t="s">
        <v>541</v>
      </c>
      <c r="I3" s="104" t="s">
        <v>540</v>
      </c>
      <c r="J3" s="104"/>
    </row>
    <row r="4" spans="1:10" ht="43.15">
      <c r="A4" s="104" t="s">
        <v>96</v>
      </c>
      <c r="B4" s="16" t="s">
        <v>43</v>
      </c>
      <c r="C4" s="103" t="s">
        <v>44</v>
      </c>
      <c r="D4" s="15" t="s">
        <v>542</v>
      </c>
      <c r="E4" s="104" t="s">
        <v>530</v>
      </c>
      <c r="F4" s="104" t="s">
        <v>153</v>
      </c>
      <c r="G4" s="103" t="s">
        <v>154</v>
      </c>
      <c r="H4" s="104" t="s">
        <v>159</v>
      </c>
      <c r="I4" s="104" t="s">
        <v>540</v>
      </c>
      <c r="J4" s="104"/>
    </row>
    <row r="5" spans="1:10" ht="41.45" customHeight="1">
      <c r="A5" s="104" t="s">
        <v>96</v>
      </c>
      <c r="B5" s="16" t="s">
        <v>47</v>
      </c>
      <c r="C5" s="104" t="s">
        <v>48</v>
      </c>
      <c r="D5" s="15" t="s">
        <v>160</v>
      </c>
      <c r="E5" s="104" t="s">
        <v>530</v>
      </c>
      <c r="F5" s="104" t="s">
        <v>153</v>
      </c>
      <c r="G5" s="104" t="s">
        <v>154</v>
      </c>
      <c r="H5" s="103" t="s">
        <v>161</v>
      </c>
      <c r="I5" s="104" t="s">
        <v>540</v>
      </c>
      <c r="J5" s="104"/>
    </row>
    <row r="6" spans="1:10" ht="57.6">
      <c r="A6" s="104" t="s">
        <v>96</v>
      </c>
      <c r="B6" s="16" t="s">
        <v>51</v>
      </c>
      <c r="C6" s="104" t="s">
        <v>52</v>
      </c>
      <c r="D6" s="15" t="s">
        <v>166</v>
      </c>
      <c r="E6" s="104" t="s">
        <v>530</v>
      </c>
      <c r="F6" s="104" t="s">
        <v>153</v>
      </c>
      <c r="G6" s="104" t="s">
        <v>154</v>
      </c>
      <c r="H6" s="64" t="s">
        <v>343</v>
      </c>
      <c r="I6" s="104" t="s">
        <v>540</v>
      </c>
      <c r="J6" s="104"/>
    </row>
    <row r="8" spans="1:10">
      <c r="A8" s="73" t="s">
        <v>344</v>
      </c>
      <c r="B8" s="74"/>
      <c r="C8" s="74"/>
      <c r="D8" s="75"/>
      <c r="E8"/>
      <c r="F8" s="103"/>
      <c r="G8" s="103"/>
      <c r="H8" s="103"/>
      <c r="I8" s="103"/>
      <c r="J8" s="104"/>
    </row>
    <row r="9" spans="1:10">
      <c r="A9" s="76"/>
      <c r="B9" s="76" t="s">
        <v>184</v>
      </c>
      <c r="C9" s="76" t="s">
        <v>185</v>
      </c>
      <c r="D9" s="76" t="s">
        <v>186</v>
      </c>
      <c r="E9"/>
      <c r="F9" s="103"/>
      <c r="G9" s="103"/>
      <c r="H9" s="103"/>
      <c r="I9" s="103"/>
      <c r="J9" s="104"/>
    </row>
    <row r="10" spans="1:10">
      <c r="A10" s="76" t="s">
        <v>187</v>
      </c>
      <c r="B10" s="77">
        <v>0.27272727272727271</v>
      </c>
      <c r="C10" s="77">
        <v>0.3</v>
      </c>
      <c r="D10" s="77">
        <v>0.28636363636363638</v>
      </c>
      <c r="E10"/>
      <c r="F10" s="103"/>
      <c r="G10" s="103"/>
      <c r="H10" s="103"/>
      <c r="I10" s="103"/>
      <c r="J10" s="104"/>
    </row>
    <row r="11" spans="1:10">
      <c r="A11" s="76" t="s">
        <v>188</v>
      </c>
      <c r="B11" s="78">
        <v>0.90909090909090906</v>
      </c>
      <c r="C11" s="78">
        <v>1</v>
      </c>
      <c r="D11" s="78">
        <v>0.95454545454545459</v>
      </c>
      <c r="E11"/>
      <c r="F11" s="103"/>
      <c r="G11" s="103"/>
      <c r="H11" s="103"/>
      <c r="I11" s="103"/>
      <c r="J11" s="104"/>
    </row>
    <row r="12" spans="1:10">
      <c r="A12" s="76" t="s">
        <v>189</v>
      </c>
      <c r="B12" s="77">
        <v>3.8363636363636364</v>
      </c>
      <c r="C12" s="77">
        <v>4.22</v>
      </c>
      <c r="D12" s="77">
        <v>4.0281818181818183</v>
      </c>
      <c r="E12"/>
      <c r="F12" s="103"/>
      <c r="G12" s="103"/>
      <c r="H12" s="103"/>
      <c r="I12" s="103"/>
      <c r="J12" s="104"/>
    </row>
    <row r="13" spans="1:10">
      <c r="A13" s="76" t="s">
        <v>190</v>
      </c>
      <c r="B13" s="78">
        <v>1.8345454545454547</v>
      </c>
      <c r="C13" s="78">
        <v>2.0180000000000002</v>
      </c>
      <c r="D13" s="78">
        <v>1.9262727272727274</v>
      </c>
      <c r="E13"/>
      <c r="F13" s="103"/>
      <c r="G13" s="103"/>
      <c r="H13" s="103"/>
      <c r="I13" s="103"/>
      <c r="J13" s="104"/>
    </row>
    <row r="14" spans="1:10">
      <c r="A14"/>
      <c r="B14"/>
      <c r="C14"/>
      <c r="D14"/>
      <c r="E14"/>
      <c r="F14" s="103"/>
      <c r="G14" s="103"/>
      <c r="H14" s="103"/>
      <c r="I14" s="103"/>
      <c r="J14" s="104"/>
    </row>
    <row r="15" spans="1:10">
      <c r="A15" t="s">
        <v>543</v>
      </c>
      <c r="B15"/>
      <c r="C15"/>
      <c r="D15"/>
      <c r="E15"/>
      <c r="F15" s="103"/>
      <c r="G15" s="103"/>
      <c r="H15" s="103"/>
      <c r="I15" s="103"/>
      <c r="J15" s="104"/>
    </row>
    <row r="18" spans="1:10" customFormat="1" ht="16.149999999999999">
      <c r="A18" s="30" t="s">
        <v>301</v>
      </c>
      <c r="B18" s="30" t="s">
        <v>169</v>
      </c>
    </row>
    <row r="19" spans="1:10" customFormat="1">
      <c r="B19" s="31">
        <v>0.01</v>
      </c>
      <c r="C19" s="31">
        <v>0.05</v>
      </c>
      <c r="D19" s="31">
        <v>0.1</v>
      </c>
      <c r="E19" s="31">
        <v>0.25</v>
      </c>
      <c r="F19" s="31">
        <v>0.5</v>
      </c>
      <c r="G19" s="31">
        <v>0.75</v>
      </c>
      <c r="H19" s="31">
        <v>0.9</v>
      </c>
      <c r="I19" s="31">
        <v>0.95</v>
      </c>
      <c r="J19" s="31">
        <v>0.99</v>
      </c>
    </row>
    <row r="20" spans="1:10" customFormat="1">
      <c r="A20" t="s">
        <v>170</v>
      </c>
      <c r="B20">
        <v>5.0999999999999996</v>
      </c>
      <c r="C20">
        <v>10.5</v>
      </c>
      <c r="D20">
        <v>12.7</v>
      </c>
      <c r="E20">
        <v>20.100000000000001</v>
      </c>
      <c r="F20">
        <v>31.1</v>
      </c>
      <c r="G20">
        <v>47.4</v>
      </c>
      <c r="H20">
        <v>62.7</v>
      </c>
      <c r="I20">
        <v>78.2</v>
      </c>
      <c r="J20">
        <v>95.9</v>
      </c>
    </row>
    <row r="21" spans="1:10" customFormat="1">
      <c r="A21" t="s">
        <v>171</v>
      </c>
      <c r="B21">
        <v>319</v>
      </c>
      <c r="C21">
        <v>655</v>
      </c>
      <c r="D21">
        <v>792</v>
      </c>
      <c r="E21" s="32">
        <v>1254</v>
      </c>
      <c r="F21" s="32">
        <v>1941</v>
      </c>
      <c r="G21" s="32">
        <v>2965</v>
      </c>
      <c r="H21" s="32">
        <v>3916</v>
      </c>
      <c r="I21" s="32">
        <v>4885</v>
      </c>
      <c r="J21" s="32">
        <v>5994</v>
      </c>
    </row>
    <row r="22" spans="1:10" customFormat="1"/>
    <row r="23" spans="1:10" customFormat="1">
      <c r="A23" t="s">
        <v>347</v>
      </c>
    </row>
  </sheetData>
  <autoFilter ref="A1:I6" xr:uid="{8E9D7E18-A9B3-4191-9DBB-B80908E44EFC}">
    <sortState xmlns:xlrd2="http://schemas.microsoft.com/office/spreadsheetml/2017/richdata2" ref="A2:I6">
      <sortCondition ref="E1:E6"/>
    </sortState>
  </autoFilter>
  <pageMargins left="0.7" right="0.7" top="0.75" bottom="0.75" header="0.3" footer="0.3"/>
  <pageSetup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0C01-8C3F-4782-B3CF-152BD46159EE}">
  <dimension ref="A1:J4"/>
  <sheetViews>
    <sheetView workbookViewId="0">
      <selection activeCell="D2" sqref="D2"/>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28.9">
      <c r="A2" s="104" t="s">
        <v>10</v>
      </c>
      <c r="B2" s="16" t="s">
        <v>11</v>
      </c>
      <c r="C2" s="20" t="s">
        <v>140</v>
      </c>
      <c r="D2" s="11" t="s">
        <v>544</v>
      </c>
      <c r="E2" s="103" t="s">
        <v>545</v>
      </c>
      <c r="F2" s="103" t="s">
        <v>350</v>
      </c>
      <c r="G2" s="103" t="s">
        <v>32</v>
      </c>
      <c r="H2" s="9" t="s">
        <v>144</v>
      </c>
      <c r="I2" s="104" t="s">
        <v>546</v>
      </c>
      <c r="J2" s="104"/>
    </row>
    <row r="3" spans="1:10" ht="28.9">
      <c r="A3" s="104" t="s">
        <v>10</v>
      </c>
      <c r="B3" s="16" t="s">
        <v>23</v>
      </c>
      <c r="C3" s="20" t="s">
        <v>24</v>
      </c>
      <c r="D3" s="2" t="s">
        <v>145</v>
      </c>
      <c r="E3" s="103" t="s">
        <v>545</v>
      </c>
      <c r="F3" s="103" t="s">
        <v>350</v>
      </c>
      <c r="G3" s="103" t="s">
        <v>32</v>
      </c>
      <c r="H3" s="103" t="s">
        <v>146</v>
      </c>
      <c r="I3" s="104" t="s">
        <v>546</v>
      </c>
      <c r="J3" s="104"/>
    </row>
    <row r="4" spans="1:10" ht="28.9">
      <c r="A4" s="104" t="s">
        <v>10</v>
      </c>
      <c r="B4" s="16" t="s">
        <v>147</v>
      </c>
      <c r="C4" s="20" t="s">
        <v>148</v>
      </c>
      <c r="D4" s="2" t="s">
        <v>149</v>
      </c>
      <c r="E4" s="103" t="s">
        <v>545</v>
      </c>
      <c r="F4" s="103" t="s">
        <v>350</v>
      </c>
      <c r="G4" s="103" t="s">
        <v>32</v>
      </c>
      <c r="H4" s="103" t="s">
        <v>150</v>
      </c>
      <c r="I4" s="104" t="s">
        <v>546</v>
      </c>
      <c r="J4" s="104"/>
    </row>
  </sheetData>
  <autoFilter ref="A1:I4" xr:uid="{8E9D7E18-A9B3-4191-9DBB-B80908E44EFC}">
    <sortState xmlns:xlrd2="http://schemas.microsoft.com/office/spreadsheetml/2017/richdata2" ref="A2:I4">
      <sortCondition ref="E1:E4"/>
    </sortState>
  </autoFilter>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F18083-81B8-409D-A656-C1B1B226099A}">
  <dimension ref="A1:J6"/>
  <sheetViews>
    <sheetView topLeftCell="A4" workbookViewId="0">
      <selection activeCell="H6" sqref="H6"/>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c r="A2" s="103" t="s">
        <v>96</v>
      </c>
      <c r="B2" s="13" t="s">
        <v>28</v>
      </c>
      <c r="C2" s="103" t="s">
        <v>29</v>
      </c>
      <c r="D2" s="2">
        <v>57</v>
      </c>
      <c r="E2" s="103" t="s">
        <v>132</v>
      </c>
      <c r="F2" s="103" t="s">
        <v>133</v>
      </c>
      <c r="G2" s="103" t="s">
        <v>134</v>
      </c>
      <c r="H2" s="103" t="s">
        <v>135</v>
      </c>
      <c r="I2" s="103" t="s">
        <v>136</v>
      </c>
      <c r="J2" s="104"/>
    </row>
    <row r="3" spans="1:10" ht="28.9">
      <c r="A3" s="103" t="s">
        <v>96</v>
      </c>
      <c r="B3" s="13" t="s">
        <v>35</v>
      </c>
      <c r="C3" s="103" t="s">
        <v>36</v>
      </c>
      <c r="D3" s="2">
        <v>57</v>
      </c>
      <c r="E3" s="103" t="s">
        <v>132</v>
      </c>
      <c r="F3" s="103" t="s">
        <v>133</v>
      </c>
      <c r="G3" s="103" t="s">
        <v>134</v>
      </c>
      <c r="H3" s="104" t="s">
        <v>137</v>
      </c>
      <c r="I3" s="103" t="s">
        <v>136</v>
      </c>
      <c r="J3" s="104"/>
    </row>
    <row r="4" spans="1:10" ht="28.9">
      <c r="A4" s="103" t="s">
        <v>96</v>
      </c>
      <c r="B4" s="13" t="s">
        <v>43</v>
      </c>
      <c r="C4" s="103" t="s">
        <v>44</v>
      </c>
      <c r="D4" s="2" t="s">
        <v>45</v>
      </c>
      <c r="E4" s="103" t="s">
        <v>132</v>
      </c>
      <c r="F4" s="103" t="s">
        <v>133</v>
      </c>
      <c r="G4" s="103" t="s">
        <v>134</v>
      </c>
      <c r="H4" s="27" t="s">
        <v>138</v>
      </c>
      <c r="I4" s="103" t="s">
        <v>136</v>
      </c>
      <c r="J4" s="104"/>
    </row>
    <row r="5" spans="1:10" ht="81" customHeight="1">
      <c r="A5" s="103" t="s">
        <v>96</v>
      </c>
      <c r="B5" s="13" t="s">
        <v>47</v>
      </c>
      <c r="C5" s="103" t="s">
        <v>95</v>
      </c>
      <c r="D5" s="24" t="s">
        <v>49</v>
      </c>
      <c r="E5" s="103" t="s">
        <v>132</v>
      </c>
      <c r="F5" s="103" t="s">
        <v>133</v>
      </c>
      <c r="G5" s="103" t="s">
        <v>134</v>
      </c>
      <c r="H5" s="100" t="s">
        <v>139</v>
      </c>
      <c r="I5" s="103" t="s">
        <v>136</v>
      </c>
      <c r="J5" s="104"/>
    </row>
    <row r="6" spans="1:10" ht="120.75" customHeight="1">
      <c r="A6" s="103" t="s">
        <v>96</v>
      </c>
      <c r="B6" s="13" t="s">
        <v>51</v>
      </c>
      <c r="C6" s="103" t="s">
        <v>52</v>
      </c>
      <c r="D6" s="3" t="s">
        <v>53</v>
      </c>
      <c r="E6" s="103" t="s">
        <v>132</v>
      </c>
      <c r="F6" s="103" t="s">
        <v>133</v>
      </c>
      <c r="G6" s="103" t="s">
        <v>134</v>
      </c>
      <c r="H6" s="103" t="s">
        <v>54</v>
      </c>
      <c r="I6" s="103" t="s">
        <v>136</v>
      </c>
      <c r="J6" s="104"/>
    </row>
  </sheetData>
  <autoFilter ref="A1:I6" xr:uid="{8E9D7E18-A9B3-4191-9DBB-B80908E44EFC}">
    <sortState xmlns:xlrd2="http://schemas.microsoft.com/office/spreadsheetml/2017/richdata2" ref="A2:I6">
      <sortCondition ref="E1:E6"/>
    </sortState>
  </autoFilter>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0ABB5-CA22-4138-8F87-121E29E557D3}">
  <dimension ref="A1:J4"/>
  <sheetViews>
    <sheetView workbookViewId="0"/>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28.9">
      <c r="A2" s="104" t="s">
        <v>10</v>
      </c>
      <c r="B2" s="16" t="s">
        <v>11</v>
      </c>
      <c r="C2" s="17" t="s">
        <v>140</v>
      </c>
      <c r="D2" s="10" t="s">
        <v>141</v>
      </c>
      <c r="E2" s="104" t="s">
        <v>142</v>
      </c>
      <c r="F2" s="104" t="s">
        <v>143</v>
      </c>
      <c r="G2" s="104" t="s">
        <v>32</v>
      </c>
      <c r="H2" s="104" t="s">
        <v>144</v>
      </c>
      <c r="I2" s="104" t="s">
        <v>136</v>
      </c>
      <c r="J2" s="104"/>
    </row>
    <row r="3" spans="1:10" ht="28.9">
      <c r="A3" s="104" t="s">
        <v>10</v>
      </c>
      <c r="B3" s="16" t="s">
        <v>23</v>
      </c>
      <c r="C3" s="17" t="s">
        <v>24</v>
      </c>
      <c r="D3" s="10" t="s">
        <v>145</v>
      </c>
      <c r="E3" s="104" t="s">
        <v>142</v>
      </c>
      <c r="F3" s="104" t="s">
        <v>143</v>
      </c>
      <c r="G3" s="104" t="s">
        <v>32</v>
      </c>
      <c r="H3" s="104" t="s">
        <v>146</v>
      </c>
      <c r="I3" s="104" t="s">
        <v>136</v>
      </c>
      <c r="J3" s="104"/>
    </row>
    <row r="4" spans="1:10" ht="28.9">
      <c r="A4" s="104" t="s">
        <v>10</v>
      </c>
      <c r="B4" s="16" t="s">
        <v>147</v>
      </c>
      <c r="C4" s="17" t="s">
        <v>148</v>
      </c>
      <c r="D4" s="10" t="s">
        <v>149</v>
      </c>
      <c r="E4" s="104" t="s">
        <v>142</v>
      </c>
      <c r="F4" s="104" t="s">
        <v>143</v>
      </c>
      <c r="G4" s="104" t="s">
        <v>32</v>
      </c>
      <c r="H4" s="104" t="s">
        <v>150</v>
      </c>
      <c r="I4" s="104" t="s">
        <v>136</v>
      </c>
      <c r="J4" s="104"/>
    </row>
  </sheetData>
  <autoFilter ref="A1:I4" xr:uid="{8E9D7E18-A9B3-4191-9DBB-B80908E44EFC}">
    <sortState xmlns:xlrd2="http://schemas.microsoft.com/office/spreadsheetml/2017/richdata2" ref="A2:I4">
      <sortCondition ref="E1:E4"/>
    </sortState>
  </autoFilter>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ED59B-5848-4239-B212-1E7081211B6F}">
  <dimension ref="A1:J37"/>
  <sheetViews>
    <sheetView topLeftCell="A4" workbookViewId="0">
      <selection activeCell="E25" sqref="E25"/>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28.9">
      <c r="A2" s="104" t="s">
        <v>151</v>
      </c>
      <c r="B2" s="16" t="s">
        <v>28</v>
      </c>
      <c r="C2" s="103" t="s">
        <v>29</v>
      </c>
      <c r="D2" s="2">
        <v>57</v>
      </c>
      <c r="E2" s="103" t="s">
        <v>152</v>
      </c>
      <c r="F2" s="103" t="s">
        <v>153</v>
      </c>
      <c r="G2" s="103" t="s">
        <v>154</v>
      </c>
      <c r="H2" s="103" t="s">
        <v>155</v>
      </c>
      <c r="I2" s="104" t="s">
        <v>156</v>
      </c>
      <c r="J2" s="104"/>
    </row>
    <row r="3" spans="1:10" ht="28.9">
      <c r="A3" s="104" t="s">
        <v>151</v>
      </c>
      <c r="B3" s="16" t="s">
        <v>35</v>
      </c>
      <c r="C3" s="103" t="s">
        <v>36</v>
      </c>
      <c r="D3" s="2">
        <v>16</v>
      </c>
      <c r="E3" s="103" t="s">
        <v>152</v>
      </c>
      <c r="F3" s="103" t="s">
        <v>153</v>
      </c>
      <c r="G3" s="103" t="s">
        <v>154</v>
      </c>
      <c r="H3" s="103" t="s">
        <v>157</v>
      </c>
      <c r="I3" s="104" t="s">
        <v>156</v>
      </c>
      <c r="J3" s="104"/>
    </row>
    <row r="4" spans="1:10" ht="43.15">
      <c r="A4" s="104" t="s">
        <v>151</v>
      </c>
      <c r="B4" s="16" t="s">
        <v>43</v>
      </c>
      <c r="C4" s="103" t="s">
        <v>44</v>
      </c>
      <c r="D4" s="2" t="s">
        <v>158</v>
      </c>
      <c r="E4" s="103" t="s">
        <v>152</v>
      </c>
      <c r="F4" s="103" t="s">
        <v>153</v>
      </c>
      <c r="G4" s="103" t="s">
        <v>154</v>
      </c>
      <c r="H4" s="103" t="s">
        <v>159</v>
      </c>
      <c r="I4" s="104" t="s">
        <v>156</v>
      </c>
      <c r="J4" s="104"/>
    </row>
    <row r="5" spans="1:10" ht="66.75" customHeight="1">
      <c r="A5" s="104" t="s">
        <v>151</v>
      </c>
      <c r="B5" s="16" t="s">
        <v>47</v>
      </c>
      <c r="C5" s="103" t="s">
        <v>95</v>
      </c>
      <c r="D5" s="2" t="s">
        <v>160</v>
      </c>
      <c r="E5" s="103" t="s">
        <v>152</v>
      </c>
      <c r="F5" s="103" t="s">
        <v>153</v>
      </c>
      <c r="G5" s="103" t="s">
        <v>154</v>
      </c>
      <c r="H5" s="103" t="s">
        <v>161</v>
      </c>
      <c r="I5" s="104" t="s">
        <v>156</v>
      </c>
      <c r="J5" s="104"/>
    </row>
    <row r="6" spans="1:10" ht="57.6">
      <c r="A6" s="104" t="s">
        <v>151</v>
      </c>
      <c r="B6" s="16" t="s">
        <v>162</v>
      </c>
      <c r="C6" s="103" t="s">
        <v>163</v>
      </c>
      <c r="D6" s="2" t="s">
        <v>164</v>
      </c>
      <c r="E6" s="103" t="s">
        <v>152</v>
      </c>
      <c r="F6" s="103" t="s">
        <v>153</v>
      </c>
      <c r="G6" s="103" t="s">
        <v>154</v>
      </c>
      <c r="H6" s="103" t="s">
        <v>165</v>
      </c>
      <c r="I6" s="104" t="s">
        <v>156</v>
      </c>
      <c r="J6" s="104"/>
    </row>
    <row r="7" spans="1:10" ht="57.6">
      <c r="A7" s="104" t="s">
        <v>151</v>
      </c>
      <c r="B7" s="16" t="s">
        <v>51</v>
      </c>
      <c r="C7" s="9" t="s">
        <v>52</v>
      </c>
      <c r="D7" s="11" t="s">
        <v>166</v>
      </c>
      <c r="E7" s="9" t="s">
        <v>152</v>
      </c>
      <c r="F7" s="103" t="s">
        <v>153</v>
      </c>
      <c r="G7" s="9" t="s">
        <v>154</v>
      </c>
      <c r="H7" s="80" t="s">
        <v>167</v>
      </c>
      <c r="I7" s="104" t="s">
        <v>156</v>
      </c>
      <c r="J7" s="104"/>
    </row>
    <row r="9" spans="1:10" customFormat="1" ht="16.149999999999999">
      <c r="A9" s="30" t="s">
        <v>168</v>
      </c>
      <c r="B9" s="30" t="s">
        <v>169</v>
      </c>
    </row>
    <row r="10" spans="1:10" customFormat="1">
      <c r="B10" s="31">
        <v>0.01</v>
      </c>
      <c r="C10" s="31">
        <v>0.05</v>
      </c>
      <c r="D10" s="31">
        <v>0.1</v>
      </c>
      <c r="E10" s="31">
        <v>0.25</v>
      </c>
      <c r="F10" s="31">
        <v>0.5</v>
      </c>
      <c r="G10" s="31">
        <v>0.75</v>
      </c>
      <c r="H10" s="31">
        <v>0.9</v>
      </c>
      <c r="I10" s="31">
        <v>0.95</v>
      </c>
      <c r="J10" s="31">
        <v>0.99</v>
      </c>
    </row>
    <row r="11" spans="1:10" customFormat="1">
      <c r="A11" t="s">
        <v>170</v>
      </c>
      <c r="B11">
        <v>5.0999999999999996</v>
      </c>
      <c r="C11">
        <v>10.5</v>
      </c>
      <c r="D11">
        <v>12.7</v>
      </c>
      <c r="E11">
        <v>20.100000000000001</v>
      </c>
      <c r="F11">
        <v>31.1</v>
      </c>
      <c r="G11">
        <v>47.4</v>
      </c>
      <c r="H11">
        <v>62.7</v>
      </c>
      <c r="I11">
        <v>78.2</v>
      </c>
      <c r="J11">
        <v>95.9</v>
      </c>
    </row>
    <row r="12" spans="1:10" customFormat="1">
      <c r="A12" t="s">
        <v>171</v>
      </c>
      <c r="B12">
        <v>319</v>
      </c>
      <c r="C12">
        <v>655</v>
      </c>
      <c r="D12">
        <v>792</v>
      </c>
      <c r="E12" s="32">
        <v>1254</v>
      </c>
      <c r="F12" s="32">
        <v>1941</v>
      </c>
      <c r="G12" s="32">
        <v>2965</v>
      </c>
      <c r="H12" s="32">
        <v>3916</v>
      </c>
      <c r="I12" s="32">
        <v>4885</v>
      </c>
      <c r="J12" s="32">
        <v>5994</v>
      </c>
    </row>
    <row r="13" spans="1:10" customFormat="1"/>
    <row r="14" spans="1:10" customFormat="1">
      <c r="A14" t="s">
        <v>172</v>
      </c>
    </row>
    <row r="15" spans="1:10" customFormat="1"/>
    <row r="16" spans="1:10" customFormat="1"/>
    <row r="17" spans="1:6" customFormat="1" ht="43.15">
      <c r="A17" s="50" t="s">
        <v>173</v>
      </c>
      <c r="B17" s="50" t="s">
        <v>174</v>
      </c>
      <c r="C17" t="s">
        <v>175</v>
      </c>
      <c r="D17" t="s">
        <v>176</v>
      </c>
    </row>
    <row r="18" spans="1:6" customFormat="1">
      <c r="A18" s="35">
        <v>0</v>
      </c>
      <c r="B18">
        <v>3.8667430000000003E-2</v>
      </c>
      <c r="C18">
        <f>475/2556</f>
        <v>0.18583724569640062</v>
      </c>
      <c r="D18">
        <f>B18*C18</f>
        <v>7.1858486893583724E-3</v>
      </c>
    </row>
    <row r="19" spans="1:6" customFormat="1">
      <c r="A19" s="35" t="s">
        <v>177</v>
      </c>
      <c r="B19">
        <v>5.0248983799999998</v>
      </c>
      <c r="C19">
        <f>1234/2556</f>
        <v>0.48278560250391234</v>
      </c>
      <c r="D19">
        <f>B19*C19</f>
        <v>2.4259485919092327</v>
      </c>
    </row>
    <row r="20" spans="1:6" customFormat="1">
      <c r="A20" s="35" t="s">
        <v>178</v>
      </c>
      <c r="B20">
        <v>40.80643302</v>
      </c>
      <c r="C20">
        <f>847/2556</f>
        <v>0.33137715179968702</v>
      </c>
      <c r="D20">
        <f>B20*C20</f>
        <v>13.5223195492723</v>
      </c>
    </row>
    <row r="21" spans="1:6" customFormat="1">
      <c r="A21" s="35"/>
      <c r="B21" t="s">
        <v>179</v>
      </c>
      <c r="D21">
        <f>SUM(D18:D20)</f>
        <v>15.955453989870891</v>
      </c>
    </row>
    <row r="22" spans="1:6" customFormat="1"/>
    <row r="23" spans="1:6" customFormat="1"/>
    <row r="24" spans="1:6" customFormat="1">
      <c r="A24" t="s">
        <v>180</v>
      </c>
      <c r="B24" t="s">
        <v>59</v>
      </c>
      <c r="C24" t="s">
        <v>60</v>
      </c>
      <c r="D24" t="s">
        <v>61</v>
      </c>
      <c r="E24" t="s">
        <v>181</v>
      </c>
    </row>
    <row r="25" spans="1:6" customFormat="1">
      <c r="A25">
        <v>35</v>
      </c>
      <c r="B25">
        <v>4</v>
      </c>
      <c r="C25">
        <v>248</v>
      </c>
      <c r="D25">
        <f>B25+C25</f>
        <v>252</v>
      </c>
      <c r="E25">
        <f>$A25*$D25/$D$29</f>
        <v>3.4507042253521125</v>
      </c>
    </row>
    <row r="26" spans="1:6" customFormat="1">
      <c r="A26">
        <v>47</v>
      </c>
      <c r="B26">
        <v>38</v>
      </c>
      <c r="C26">
        <v>728</v>
      </c>
      <c r="D26">
        <f>B26+C26</f>
        <v>766</v>
      </c>
      <c r="E26">
        <f t="shared" ref="E26:E28" si="0">$A26*$D26/$D$29</f>
        <v>14.085289514866979</v>
      </c>
    </row>
    <row r="27" spans="1:6" customFormat="1">
      <c r="A27">
        <v>62</v>
      </c>
      <c r="B27">
        <v>124</v>
      </c>
      <c r="C27">
        <v>926</v>
      </c>
      <c r="D27">
        <f>B27+C27</f>
        <v>1050</v>
      </c>
      <c r="E27">
        <f t="shared" si="0"/>
        <v>25.469483568075116</v>
      </c>
    </row>
    <row r="28" spans="1:6" customFormat="1">
      <c r="A28">
        <v>75</v>
      </c>
      <c r="B28">
        <v>97</v>
      </c>
      <c r="C28">
        <v>391</v>
      </c>
      <c r="D28">
        <f>B28+C28</f>
        <v>488</v>
      </c>
      <c r="E28">
        <f t="shared" si="0"/>
        <v>14.31924882629108</v>
      </c>
    </row>
    <row r="29" spans="1:6" customFormat="1">
      <c r="D29">
        <f>SUM(D25:D28)</f>
        <v>2556</v>
      </c>
      <c r="E29">
        <f>SUM(E25:E28)</f>
        <v>57.324726134585283</v>
      </c>
      <c r="F29" t="s">
        <v>182</v>
      </c>
    </row>
    <row r="30" spans="1:6" customFormat="1"/>
    <row r="31" spans="1:6" customFormat="1">
      <c r="A31" s="73" t="s">
        <v>183</v>
      </c>
      <c r="B31" s="74"/>
      <c r="C31" s="74"/>
      <c r="D31" s="75"/>
    </row>
    <row r="32" spans="1:6" customFormat="1">
      <c r="A32" s="76"/>
      <c r="B32" s="76" t="s">
        <v>184</v>
      </c>
      <c r="C32" s="76" t="s">
        <v>185</v>
      </c>
      <c r="D32" s="76" t="s">
        <v>186</v>
      </c>
    </row>
    <row r="33" spans="1:4" customFormat="1">
      <c r="A33" s="76" t="s">
        <v>187</v>
      </c>
      <c r="B33" s="77">
        <v>0.27272727272727271</v>
      </c>
      <c r="C33" s="77">
        <v>0.3</v>
      </c>
      <c r="D33" s="77">
        <v>0.28636363636363638</v>
      </c>
    </row>
    <row r="34" spans="1:4" customFormat="1">
      <c r="A34" s="76" t="s">
        <v>188</v>
      </c>
      <c r="B34" s="78">
        <v>0.90909090909090906</v>
      </c>
      <c r="C34" s="78">
        <v>1</v>
      </c>
      <c r="D34" s="78">
        <v>0.95454545454545459</v>
      </c>
    </row>
    <row r="35" spans="1:4" customFormat="1">
      <c r="A35" s="76" t="s">
        <v>189</v>
      </c>
      <c r="B35" s="77">
        <v>3.8363636363636364</v>
      </c>
      <c r="C35" s="77">
        <v>4.22</v>
      </c>
      <c r="D35" s="77">
        <v>4.0281818181818183</v>
      </c>
    </row>
    <row r="36" spans="1:4" customFormat="1">
      <c r="A36" s="76" t="s">
        <v>190</v>
      </c>
      <c r="B36" s="78">
        <v>1.8345454545454547</v>
      </c>
      <c r="C36" s="78">
        <v>2.0180000000000002</v>
      </c>
      <c r="D36" s="78">
        <v>1.9262727272727274</v>
      </c>
    </row>
    <row r="37" spans="1:4" ht="28.9">
      <c r="A37" s="103"/>
      <c r="C37" s="103" t="s">
        <v>191</v>
      </c>
      <c r="D37" s="4">
        <f>AVERAGE(D34,D36)</f>
        <v>1.440409090909091</v>
      </c>
    </row>
  </sheetData>
  <autoFilter ref="A1:I7" xr:uid="{8E9D7E18-A9B3-4191-9DBB-B80908E44EFC}">
    <sortState xmlns:xlrd2="http://schemas.microsoft.com/office/spreadsheetml/2017/richdata2" ref="A2:I7">
      <sortCondition ref="E1:E7"/>
    </sortState>
  </autoFilter>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50FBD-AA05-4DC5-9530-2A035602DB7C}">
  <dimension ref="A1:J36"/>
  <sheetViews>
    <sheetView workbookViewId="0">
      <selection activeCell="H7" sqref="H7"/>
    </sheetView>
  </sheetViews>
  <sheetFormatPr defaultColWidth="8.85546875" defaultRowHeight="14.45"/>
  <cols>
    <col min="1" max="1" width="15.140625" style="1" customWidth="1"/>
    <col min="2" max="2" width="8.85546875" style="13" customWidth="1"/>
    <col min="3" max="3" width="26.140625" style="1" customWidth="1"/>
    <col min="4" max="4" width="12.8554687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0" ht="28.9">
      <c r="A1" s="5" t="s">
        <v>0</v>
      </c>
      <c r="B1" s="12" t="s">
        <v>1</v>
      </c>
      <c r="C1" s="6" t="s">
        <v>2</v>
      </c>
      <c r="D1" s="6" t="s">
        <v>3</v>
      </c>
      <c r="E1" s="6" t="s">
        <v>4</v>
      </c>
      <c r="F1" s="6" t="s">
        <v>5</v>
      </c>
      <c r="G1" s="6" t="s">
        <v>6</v>
      </c>
      <c r="H1" s="6" t="s">
        <v>7</v>
      </c>
      <c r="I1" s="7" t="s">
        <v>8</v>
      </c>
      <c r="J1" s="7" t="s">
        <v>9</v>
      </c>
    </row>
    <row r="2" spans="1:10" ht="43.15">
      <c r="A2" s="104" t="s">
        <v>151</v>
      </c>
      <c r="B2" s="13" t="s">
        <v>28</v>
      </c>
      <c r="C2" s="9" t="s">
        <v>29</v>
      </c>
      <c r="D2" s="11">
        <v>65</v>
      </c>
      <c r="E2" s="9" t="s">
        <v>192</v>
      </c>
      <c r="F2" s="104" t="s">
        <v>193</v>
      </c>
      <c r="G2" s="9" t="s">
        <v>32</v>
      </c>
      <c r="H2" s="9" t="s">
        <v>194</v>
      </c>
      <c r="I2" s="104"/>
      <c r="J2" s="104"/>
    </row>
    <row r="3" spans="1:10" ht="28.9">
      <c r="A3" s="104" t="s">
        <v>151</v>
      </c>
      <c r="B3" s="13" t="s">
        <v>35</v>
      </c>
      <c r="C3" s="9" t="s">
        <v>36</v>
      </c>
      <c r="D3" s="11">
        <v>42</v>
      </c>
      <c r="E3" s="9" t="s">
        <v>192</v>
      </c>
      <c r="F3" s="103" t="s">
        <v>193</v>
      </c>
      <c r="G3" s="9" t="s">
        <v>32</v>
      </c>
      <c r="H3" s="21" t="s">
        <v>195</v>
      </c>
      <c r="I3" s="104"/>
      <c r="J3" s="104"/>
    </row>
    <row r="4" spans="1:10" ht="57.6">
      <c r="A4" s="104" t="s">
        <v>151</v>
      </c>
      <c r="B4" s="13" t="s">
        <v>43</v>
      </c>
      <c r="C4" s="9" t="s">
        <v>44</v>
      </c>
      <c r="D4" s="11" t="s">
        <v>196</v>
      </c>
      <c r="E4" s="9" t="s">
        <v>192</v>
      </c>
      <c r="F4" s="104" t="s">
        <v>193</v>
      </c>
      <c r="G4" s="9" t="s">
        <v>32</v>
      </c>
      <c r="H4" s="104" t="s">
        <v>197</v>
      </c>
      <c r="I4" s="104"/>
      <c r="J4" s="104"/>
    </row>
    <row r="5" spans="1:10" ht="43.15">
      <c r="A5" s="104" t="s">
        <v>151</v>
      </c>
      <c r="B5" s="13" t="s">
        <v>47</v>
      </c>
      <c r="C5" s="9" t="s">
        <v>95</v>
      </c>
      <c r="D5" s="11" t="s">
        <v>160</v>
      </c>
      <c r="E5" s="9" t="s">
        <v>192</v>
      </c>
      <c r="F5" s="9" t="s">
        <v>193</v>
      </c>
      <c r="G5" s="9" t="s">
        <v>32</v>
      </c>
      <c r="H5" s="9" t="s">
        <v>198</v>
      </c>
      <c r="I5" s="104"/>
      <c r="J5" s="104"/>
    </row>
    <row r="6" spans="1:10" ht="57.6">
      <c r="A6" s="104" t="s">
        <v>151</v>
      </c>
      <c r="B6" s="13" t="s">
        <v>162</v>
      </c>
      <c r="C6" s="9" t="s">
        <v>163</v>
      </c>
      <c r="D6" s="11" t="s">
        <v>199</v>
      </c>
      <c r="E6" s="9" t="s">
        <v>192</v>
      </c>
      <c r="F6" s="9" t="s">
        <v>193</v>
      </c>
      <c r="G6" s="9" t="s">
        <v>32</v>
      </c>
      <c r="H6" s="9" t="s">
        <v>200</v>
      </c>
      <c r="I6" s="104"/>
      <c r="J6" s="104"/>
    </row>
    <row r="7" spans="1:10" ht="57.6">
      <c r="A7" s="104" t="s">
        <v>151</v>
      </c>
      <c r="B7" s="13" t="s">
        <v>51</v>
      </c>
      <c r="C7" s="9" t="s">
        <v>52</v>
      </c>
      <c r="D7" s="11" t="s">
        <v>166</v>
      </c>
      <c r="E7" s="9" t="s">
        <v>192</v>
      </c>
      <c r="F7" s="9" t="s">
        <v>193</v>
      </c>
      <c r="G7" s="9" t="s">
        <v>32</v>
      </c>
      <c r="H7" s="80" t="s">
        <v>201</v>
      </c>
      <c r="I7" s="104"/>
      <c r="J7" s="104"/>
    </row>
    <row r="9" spans="1:10">
      <c r="A9" s="30" t="s">
        <v>202</v>
      </c>
      <c r="B9"/>
      <c r="C9"/>
      <c r="D9"/>
      <c r="E9"/>
      <c r="F9"/>
      <c r="G9" s="103"/>
      <c r="H9" s="103"/>
      <c r="I9" s="103"/>
      <c r="J9" s="104"/>
    </row>
    <row r="10" spans="1:10">
      <c r="A10" t="s">
        <v>203</v>
      </c>
      <c r="B10">
        <v>0.26200000000000001</v>
      </c>
      <c r="C10"/>
      <c r="D10"/>
      <c r="E10"/>
      <c r="F10"/>
      <c r="G10" s="103"/>
      <c r="H10" s="103"/>
      <c r="I10" s="103"/>
      <c r="J10" s="104"/>
    </row>
    <row r="11" spans="1:10">
      <c r="A11" t="s">
        <v>204</v>
      </c>
      <c r="B11">
        <v>4.1000000000000002E-2</v>
      </c>
      <c r="C11"/>
      <c r="D11"/>
      <c r="E11"/>
      <c r="F11"/>
      <c r="G11" s="103"/>
      <c r="H11" s="103"/>
      <c r="I11" s="103"/>
      <c r="J11" s="104"/>
    </row>
    <row r="12" spans="1:10">
      <c r="A12" t="s">
        <v>205</v>
      </c>
      <c r="B12">
        <v>0.03</v>
      </c>
      <c r="C12"/>
      <c r="D12"/>
      <c r="E12"/>
      <c r="F12"/>
      <c r="G12" s="103"/>
      <c r="H12" s="103"/>
      <c r="I12" s="103"/>
      <c r="J12" s="104"/>
    </row>
    <row r="13" spans="1:10">
      <c r="A13" t="s">
        <v>206</v>
      </c>
      <c r="B13" s="33">
        <v>6.0999999999999999E-2</v>
      </c>
      <c r="C13"/>
      <c r="D13"/>
      <c r="E13"/>
      <c r="F13"/>
      <c r="G13" s="103"/>
      <c r="H13" s="103"/>
      <c r="I13" s="103"/>
      <c r="J13" s="104"/>
    </row>
    <row r="14" spans="1:10">
      <c r="A14" t="s">
        <v>207</v>
      </c>
      <c r="B14" s="33">
        <v>2.9000000000000001E-2</v>
      </c>
      <c r="C14"/>
      <c r="D14"/>
      <c r="E14"/>
      <c r="F14"/>
      <c r="G14" s="103"/>
      <c r="H14" s="103"/>
      <c r="I14" s="103"/>
      <c r="J14" s="104"/>
    </row>
    <row r="15" spans="1:10">
      <c r="A15" t="s">
        <v>208</v>
      </c>
      <c r="B15" s="33">
        <v>6.0000000000000001E-3</v>
      </c>
      <c r="C15"/>
      <c r="D15"/>
      <c r="E15"/>
      <c r="F15"/>
      <c r="G15" s="103"/>
      <c r="H15" s="103"/>
      <c r="I15" s="103"/>
      <c r="J15" s="104"/>
    </row>
    <row r="16" spans="1:10" ht="15" thickBot="1">
      <c r="A16" t="s">
        <v>209</v>
      </c>
      <c r="B16" s="33">
        <v>0.22500000000000001</v>
      </c>
      <c r="C16"/>
      <c r="D16"/>
      <c r="E16"/>
      <c r="F16"/>
      <c r="G16" s="103"/>
      <c r="H16" s="103"/>
      <c r="I16" s="103"/>
      <c r="J16" s="104"/>
    </row>
    <row r="17" spans="1:10">
      <c r="A17" s="34" t="s">
        <v>61</v>
      </c>
      <c r="B17" s="34">
        <f>SUM(B10:B16)</f>
        <v>0.65400000000000003</v>
      </c>
      <c r="C17"/>
      <c r="D17"/>
      <c r="E17"/>
      <c r="F17"/>
      <c r="G17" s="103"/>
      <c r="H17" s="103"/>
      <c r="I17" s="103"/>
      <c r="J17" s="104"/>
    </row>
    <row r="18" spans="1:10">
      <c r="A18" s="35"/>
      <c r="B18" s="35"/>
      <c r="C18"/>
      <c r="D18"/>
      <c r="E18"/>
      <c r="F18"/>
      <c r="G18" s="103"/>
      <c r="H18" s="103"/>
      <c r="I18" s="103"/>
      <c r="J18" s="104"/>
    </row>
    <row r="19" spans="1:10">
      <c r="A19" t="s">
        <v>210</v>
      </c>
      <c r="B19"/>
      <c r="C19"/>
      <c r="D19"/>
      <c r="E19"/>
      <c r="F19"/>
      <c r="G19" s="103"/>
      <c r="H19" s="103"/>
      <c r="I19" s="103"/>
      <c r="J19" s="104"/>
    </row>
    <row r="20" spans="1:10">
      <c r="A20"/>
      <c r="B20"/>
      <c r="C20"/>
      <c r="D20"/>
      <c r="E20"/>
      <c r="F20"/>
      <c r="G20" s="103"/>
      <c r="H20" s="103"/>
      <c r="I20" s="103"/>
      <c r="J20" s="104"/>
    </row>
    <row r="21" spans="1:10">
      <c r="A21" t="s">
        <v>211</v>
      </c>
      <c r="B21"/>
      <c r="C21"/>
      <c r="D21"/>
      <c r="E21"/>
      <c r="F21"/>
      <c r="G21" s="103"/>
      <c r="H21" s="103"/>
      <c r="I21" s="103"/>
      <c r="J21" s="104"/>
    </row>
    <row r="22" spans="1:10">
      <c r="A22" t="s">
        <v>212</v>
      </c>
      <c r="B22"/>
      <c r="C22"/>
      <c r="D22"/>
      <c r="E22"/>
      <c r="F22"/>
      <c r="G22" s="103"/>
      <c r="H22" s="103"/>
      <c r="I22" s="103"/>
      <c r="J22" s="104"/>
    </row>
    <row r="23" spans="1:10">
      <c r="A23"/>
      <c r="B23"/>
      <c r="C23"/>
      <c r="D23"/>
      <c r="E23"/>
      <c r="F23"/>
      <c r="G23" s="103"/>
      <c r="H23" s="103"/>
      <c r="I23" s="103"/>
      <c r="J23" s="104"/>
    </row>
    <row r="24" spans="1:10">
      <c r="A24" t="s">
        <v>213</v>
      </c>
      <c r="B24"/>
      <c r="C24"/>
      <c r="D24"/>
      <c r="E24"/>
      <c r="F24"/>
      <c r="G24" s="103"/>
      <c r="H24" s="103"/>
      <c r="I24" s="103"/>
      <c r="J24" s="104"/>
    </row>
    <row r="25" spans="1:10">
      <c r="A25" t="s">
        <v>214</v>
      </c>
      <c r="B25"/>
      <c r="C25"/>
      <c r="D25"/>
      <c r="E25"/>
      <c r="F25"/>
      <c r="G25" s="103"/>
      <c r="H25" s="103"/>
      <c r="I25" s="103"/>
      <c r="J25" s="104"/>
    </row>
    <row r="26" spans="1:10">
      <c r="A26"/>
      <c r="B26"/>
      <c r="C26"/>
      <c r="D26"/>
      <c r="E26"/>
      <c r="F26"/>
      <c r="G26" s="103"/>
      <c r="H26" s="103"/>
      <c r="I26" s="103"/>
      <c r="J26" s="104"/>
    </row>
    <row r="27" spans="1:10">
      <c r="A27" t="s">
        <v>215</v>
      </c>
      <c r="B27"/>
      <c r="C27"/>
      <c r="D27"/>
      <c r="E27"/>
      <c r="F27"/>
      <c r="G27" s="103"/>
      <c r="H27" s="103"/>
      <c r="I27" s="103"/>
      <c r="J27" s="104"/>
    </row>
    <row r="28" spans="1:10">
      <c r="A28" t="s">
        <v>216</v>
      </c>
      <c r="B28"/>
      <c r="C28"/>
      <c r="D28"/>
      <c r="E28"/>
      <c r="F28"/>
      <c r="G28" s="103"/>
      <c r="H28" s="103"/>
      <c r="I28" s="103"/>
      <c r="J28" s="104"/>
    </row>
    <row r="29" spans="1:10">
      <c r="A29" t="s">
        <v>217</v>
      </c>
      <c r="B29"/>
      <c r="C29"/>
      <c r="D29"/>
      <c r="E29"/>
      <c r="F29"/>
      <c r="G29" s="103"/>
      <c r="H29" s="103"/>
      <c r="I29" s="103"/>
      <c r="J29" s="104"/>
    </row>
    <row r="31" spans="1:10" ht="30.6">
      <c r="A31" s="60" t="s">
        <v>218</v>
      </c>
      <c r="B31" s="30" t="s">
        <v>169</v>
      </c>
      <c r="C31"/>
      <c r="D31"/>
      <c r="E31"/>
      <c r="F31"/>
      <c r="G31"/>
      <c r="H31"/>
      <c r="I31"/>
      <c r="J31"/>
    </row>
    <row r="32" spans="1:10">
      <c r="A32"/>
      <c r="B32" s="31">
        <v>0.01</v>
      </c>
      <c r="C32" s="31">
        <v>0.05</v>
      </c>
      <c r="D32" s="31">
        <v>0.1</v>
      </c>
      <c r="E32" s="31">
        <v>0.25</v>
      </c>
      <c r="F32" s="31">
        <v>0.5</v>
      </c>
      <c r="G32" s="31">
        <v>0.75</v>
      </c>
      <c r="H32" s="31">
        <v>0.9</v>
      </c>
      <c r="I32" s="31">
        <v>0.95</v>
      </c>
      <c r="J32" s="31">
        <v>0.99</v>
      </c>
    </row>
    <row r="33" spans="1:10">
      <c r="A33" t="s">
        <v>170</v>
      </c>
      <c r="B33">
        <v>5.0999999999999996</v>
      </c>
      <c r="C33">
        <v>10.5</v>
      </c>
      <c r="D33">
        <v>12.7</v>
      </c>
      <c r="E33">
        <v>20.100000000000001</v>
      </c>
      <c r="F33">
        <v>31.1</v>
      </c>
      <c r="G33">
        <v>47.4</v>
      </c>
      <c r="H33">
        <v>62.7</v>
      </c>
      <c r="I33">
        <v>78.2</v>
      </c>
      <c r="J33">
        <v>95.9</v>
      </c>
    </row>
    <row r="34" spans="1:10">
      <c r="A34" t="s">
        <v>171</v>
      </c>
      <c r="B34">
        <v>319</v>
      </c>
      <c r="C34">
        <v>655</v>
      </c>
      <c r="D34">
        <v>792</v>
      </c>
      <c r="E34" s="32">
        <v>1254</v>
      </c>
      <c r="F34" s="32">
        <v>1941</v>
      </c>
      <c r="G34" s="32">
        <v>2965</v>
      </c>
      <c r="H34" s="32">
        <v>3916</v>
      </c>
      <c r="I34" s="32">
        <v>4885</v>
      </c>
      <c r="J34" s="32">
        <v>5994</v>
      </c>
    </row>
    <row r="35" spans="1:10">
      <c r="A35"/>
      <c r="B35"/>
      <c r="C35"/>
      <c r="D35"/>
      <c r="E35"/>
      <c r="F35"/>
      <c r="G35"/>
      <c r="H35"/>
      <c r="I35"/>
      <c r="J35"/>
    </row>
    <row r="36" spans="1:10">
      <c r="A36" t="s">
        <v>219</v>
      </c>
      <c r="B36"/>
      <c r="C36"/>
      <c r="D36"/>
      <c r="E36"/>
      <c r="F36"/>
      <c r="G36"/>
      <c r="H36"/>
      <c r="I36"/>
      <c r="J36"/>
    </row>
  </sheetData>
  <autoFilter ref="A1:I7" xr:uid="{8E9D7E18-A9B3-4191-9DBB-B80908E44EFC}">
    <sortState xmlns:xlrd2="http://schemas.microsoft.com/office/spreadsheetml/2017/richdata2" ref="A2:I7">
      <sortCondition ref="E1:E7"/>
    </sortState>
  </autoFilter>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81C5C-6C26-4577-B888-F2AE072F9CBD}">
  <dimension ref="A1:M42"/>
  <sheetViews>
    <sheetView topLeftCell="A3" zoomScaleNormal="100" workbookViewId="0">
      <selection activeCell="H7" sqref="H7"/>
    </sheetView>
  </sheetViews>
  <sheetFormatPr defaultColWidth="8.85546875" defaultRowHeight="14.45"/>
  <cols>
    <col min="1" max="1" width="15.140625" style="1" customWidth="1"/>
    <col min="2" max="2" width="8.85546875" style="13" customWidth="1"/>
    <col min="3" max="3" width="26.140625" style="1" customWidth="1"/>
    <col min="4" max="4" width="21.42578125" style="2" customWidth="1"/>
    <col min="5" max="5" width="18" style="1" customWidth="1"/>
    <col min="6" max="6" width="23.5703125" style="1" customWidth="1"/>
    <col min="7" max="7" width="13.85546875" style="1" customWidth="1"/>
    <col min="8" max="8" width="83.5703125" style="1" customWidth="1"/>
    <col min="9" max="9" width="51.140625" style="1" customWidth="1"/>
    <col min="10" max="10" width="26.5703125" style="8" customWidth="1"/>
    <col min="11" max="16384" width="8.85546875" style="8"/>
  </cols>
  <sheetData>
    <row r="1" spans="1:12" ht="28.9">
      <c r="A1" s="5" t="s">
        <v>0</v>
      </c>
      <c r="B1" s="12" t="s">
        <v>1</v>
      </c>
      <c r="C1" s="6" t="s">
        <v>2</v>
      </c>
      <c r="D1" s="6" t="s">
        <v>3</v>
      </c>
      <c r="E1" s="6" t="s">
        <v>4</v>
      </c>
      <c r="F1" s="6" t="s">
        <v>5</v>
      </c>
      <c r="G1" s="6" t="s">
        <v>6</v>
      </c>
      <c r="H1" s="6" t="s">
        <v>7</v>
      </c>
      <c r="I1" s="7" t="s">
        <v>8</v>
      </c>
      <c r="J1" s="7" t="s">
        <v>9</v>
      </c>
      <c r="K1" s="104"/>
      <c r="L1" s="104"/>
    </row>
    <row r="2" spans="1:12" ht="43.15">
      <c r="A2" s="103" t="s">
        <v>151</v>
      </c>
      <c r="B2" s="13" t="s">
        <v>28</v>
      </c>
      <c r="C2" s="9" t="s">
        <v>29</v>
      </c>
      <c r="D2" s="11">
        <v>65</v>
      </c>
      <c r="E2" s="9" t="s">
        <v>192</v>
      </c>
      <c r="F2" s="9" t="s">
        <v>193</v>
      </c>
      <c r="G2" s="9" t="s">
        <v>16</v>
      </c>
      <c r="H2" s="9" t="s">
        <v>220</v>
      </c>
      <c r="I2" s="103" t="s">
        <v>221</v>
      </c>
      <c r="J2" s="104"/>
      <c r="K2" s="104"/>
      <c r="L2" s="104"/>
    </row>
    <row r="3" spans="1:12" ht="28.9">
      <c r="A3" s="103" t="s">
        <v>151</v>
      </c>
      <c r="B3" s="13" t="s">
        <v>35</v>
      </c>
      <c r="C3" s="9" t="s">
        <v>36</v>
      </c>
      <c r="D3" s="2">
        <v>42</v>
      </c>
      <c r="E3" s="9" t="s">
        <v>192</v>
      </c>
      <c r="F3" s="9" t="s">
        <v>193</v>
      </c>
      <c r="G3" s="9" t="s">
        <v>16</v>
      </c>
      <c r="H3" s="21" t="s">
        <v>222</v>
      </c>
      <c r="I3" s="103" t="s">
        <v>221</v>
      </c>
      <c r="J3" s="104"/>
      <c r="K3" s="104"/>
      <c r="L3" s="104"/>
    </row>
    <row r="4" spans="1:12" ht="57.6">
      <c r="A4" s="103" t="s">
        <v>151</v>
      </c>
      <c r="B4" s="13" t="s">
        <v>43</v>
      </c>
      <c r="C4" s="103" t="s">
        <v>44</v>
      </c>
      <c r="D4" s="11" t="s">
        <v>223</v>
      </c>
      <c r="E4" s="9" t="s">
        <v>192</v>
      </c>
      <c r="F4" s="9" t="s">
        <v>193</v>
      </c>
      <c r="G4" s="9" t="s">
        <v>16</v>
      </c>
      <c r="H4" s="21" t="s">
        <v>224</v>
      </c>
      <c r="I4" s="103" t="s">
        <v>221</v>
      </c>
      <c r="J4" s="104"/>
      <c r="K4" s="104"/>
      <c r="L4" s="104"/>
    </row>
    <row r="5" spans="1:12" ht="43.15">
      <c r="A5" s="103" t="s">
        <v>151</v>
      </c>
      <c r="B5" s="13" t="s">
        <v>47</v>
      </c>
      <c r="C5" s="9" t="s">
        <v>95</v>
      </c>
      <c r="D5" s="11" t="s">
        <v>225</v>
      </c>
      <c r="E5" s="9" t="s">
        <v>192</v>
      </c>
      <c r="F5" s="9" t="s">
        <v>193</v>
      </c>
      <c r="G5" s="9" t="s">
        <v>16</v>
      </c>
      <c r="H5" s="21" t="s">
        <v>198</v>
      </c>
      <c r="I5" s="103" t="s">
        <v>221</v>
      </c>
      <c r="J5" s="104"/>
      <c r="K5" s="104"/>
      <c r="L5" s="104"/>
    </row>
    <row r="6" spans="1:12" ht="57.6">
      <c r="A6" s="103" t="s">
        <v>151</v>
      </c>
      <c r="B6" s="13" t="s">
        <v>162</v>
      </c>
      <c r="C6" s="9" t="s">
        <v>163</v>
      </c>
      <c r="D6" s="11" t="s">
        <v>199</v>
      </c>
      <c r="E6" s="9" t="s">
        <v>192</v>
      </c>
      <c r="F6" s="9" t="s">
        <v>193</v>
      </c>
      <c r="G6" s="9" t="s">
        <v>16</v>
      </c>
      <c r="H6" s="9" t="s">
        <v>226</v>
      </c>
      <c r="I6" s="103" t="s">
        <v>221</v>
      </c>
      <c r="J6" s="104"/>
      <c r="K6" s="104"/>
      <c r="L6" s="104"/>
    </row>
    <row r="7" spans="1:12" ht="60" customHeight="1">
      <c r="A7" s="103" t="s">
        <v>151</v>
      </c>
      <c r="B7" s="13" t="s">
        <v>51</v>
      </c>
      <c r="C7" s="9" t="s">
        <v>52</v>
      </c>
      <c r="D7" s="11" t="s">
        <v>227</v>
      </c>
      <c r="E7" s="9" t="s">
        <v>192</v>
      </c>
      <c r="F7" s="9" t="s">
        <v>193</v>
      </c>
      <c r="G7" s="9" t="s">
        <v>16</v>
      </c>
      <c r="H7" s="81" t="s">
        <v>228</v>
      </c>
      <c r="I7" s="103" t="s">
        <v>221</v>
      </c>
      <c r="J7" s="104"/>
      <c r="K7" s="104"/>
      <c r="L7" s="104"/>
    </row>
    <row r="9" spans="1:12" s="64" customFormat="1">
      <c r="A9" s="62" t="s">
        <v>202</v>
      </c>
      <c r="B9" s="63"/>
      <c r="C9" s="63"/>
      <c r="D9" s="63"/>
      <c r="E9" s="66"/>
      <c r="F9" s="67"/>
      <c r="G9" s="63"/>
      <c r="H9" s="23"/>
      <c r="I9" s="23"/>
      <c r="K9" s="23"/>
      <c r="L9" s="23"/>
    </row>
    <row r="10" spans="1:12" s="64" customFormat="1">
      <c r="A10" s="63" t="s">
        <v>203</v>
      </c>
      <c r="B10" s="63">
        <v>0.26200000000000001</v>
      </c>
      <c r="C10" s="63"/>
      <c r="D10" s="63"/>
      <c r="E10" s="63"/>
      <c r="F10" s="63"/>
      <c r="G10" s="23"/>
      <c r="H10" s="23"/>
      <c r="I10" s="23"/>
      <c r="K10" s="23"/>
      <c r="L10" s="23"/>
    </row>
    <row r="11" spans="1:12" s="64" customFormat="1">
      <c r="A11" s="63" t="s">
        <v>204</v>
      </c>
      <c r="B11" s="63">
        <v>4.1000000000000002E-2</v>
      </c>
      <c r="C11" s="63"/>
      <c r="D11" s="63"/>
      <c r="E11" s="63"/>
      <c r="F11" s="63"/>
      <c r="G11" s="23"/>
      <c r="H11" s="23"/>
      <c r="I11" s="23"/>
      <c r="K11" s="23"/>
      <c r="L11" s="23"/>
    </row>
    <row r="12" spans="1:12" s="64" customFormat="1">
      <c r="A12" s="63" t="s">
        <v>205</v>
      </c>
      <c r="B12" s="63">
        <v>0.03</v>
      </c>
      <c r="C12" s="63"/>
      <c r="D12" s="63"/>
      <c r="E12" s="63"/>
      <c r="F12" s="63"/>
      <c r="G12" s="23"/>
      <c r="H12" s="23"/>
      <c r="I12" s="23"/>
      <c r="K12" s="23"/>
      <c r="L12" s="23"/>
    </row>
    <row r="13" spans="1:12" s="64" customFormat="1">
      <c r="A13" s="63" t="s">
        <v>206</v>
      </c>
      <c r="B13" s="65">
        <v>6.0999999999999999E-2</v>
      </c>
      <c r="C13" s="63"/>
      <c r="D13" s="63"/>
      <c r="E13" s="63"/>
      <c r="F13" s="63"/>
      <c r="G13" s="23"/>
      <c r="H13" s="23"/>
      <c r="I13" s="23"/>
      <c r="K13" s="23"/>
      <c r="L13" s="23"/>
    </row>
    <row r="14" spans="1:12" s="64" customFormat="1">
      <c r="A14" s="63" t="s">
        <v>207</v>
      </c>
      <c r="B14" s="65">
        <v>2.9000000000000001E-2</v>
      </c>
      <c r="C14" s="63"/>
      <c r="D14" s="63"/>
      <c r="E14" s="63"/>
      <c r="F14" s="63"/>
      <c r="G14" s="23"/>
      <c r="H14" s="23"/>
      <c r="I14" s="23"/>
      <c r="K14" s="23"/>
      <c r="L14" s="23"/>
    </row>
    <row r="15" spans="1:12" s="64" customFormat="1">
      <c r="A15" s="63" t="s">
        <v>208</v>
      </c>
      <c r="B15" s="65">
        <v>6.0000000000000001E-3</v>
      </c>
      <c r="C15" s="63"/>
      <c r="D15" s="63"/>
      <c r="E15" s="63"/>
      <c r="F15" s="63"/>
      <c r="G15" s="23"/>
      <c r="H15" s="23"/>
      <c r="I15" s="23"/>
      <c r="K15" s="23"/>
      <c r="L15" s="23"/>
    </row>
    <row r="16" spans="1:12" s="64" customFormat="1" ht="15" thickBot="1">
      <c r="A16" s="63" t="s">
        <v>209</v>
      </c>
      <c r="B16" s="65">
        <v>0.22500000000000001</v>
      </c>
      <c r="C16" s="63"/>
      <c r="D16" s="63"/>
      <c r="E16" s="63"/>
      <c r="F16" s="63"/>
      <c r="G16" s="23"/>
      <c r="H16" s="23"/>
      <c r="I16" s="23"/>
      <c r="K16" s="23"/>
      <c r="L16" s="23"/>
    </row>
    <row r="17" spans="1:13" s="64" customFormat="1">
      <c r="A17" s="68" t="s">
        <v>61</v>
      </c>
      <c r="B17" s="68">
        <f>SUM(B10:B16)</f>
        <v>0.65400000000000003</v>
      </c>
      <c r="C17" s="63"/>
      <c r="D17" s="63"/>
      <c r="E17" s="63"/>
      <c r="F17" s="63"/>
      <c r="G17" s="23"/>
      <c r="H17" s="23"/>
      <c r="I17" s="23"/>
      <c r="K17" s="23"/>
      <c r="L17" s="23"/>
    </row>
    <row r="18" spans="1:13" s="64" customFormat="1">
      <c r="A18" s="66"/>
      <c r="B18" s="66"/>
      <c r="C18" s="63"/>
      <c r="D18" s="63"/>
      <c r="E18" s="63"/>
      <c r="F18" s="63"/>
      <c r="G18" s="23"/>
      <c r="H18" s="23"/>
      <c r="I18" s="23"/>
      <c r="K18" s="23"/>
      <c r="L18" s="23"/>
    </row>
    <row r="19" spans="1:13" s="64" customFormat="1">
      <c r="A19" s="63" t="s">
        <v>210</v>
      </c>
      <c r="B19" s="63"/>
      <c r="C19" s="63"/>
      <c r="D19" s="63"/>
      <c r="E19" s="63"/>
      <c r="F19" s="63"/>
      <c r="G19" s="23"/>
      <c r="H19" s="23"/>
      <c r="I19" s="23"/>
      <c r="K19" s="23"/>
      <c r="L19" s="23"/>
    </row>
    <row r="20" spans="1:13" s="64" customFormat="1">
      <c r="A20" s="63"/>
      <c r="B20" s="63"/>
      <c r="C20" s="63"/>
      <c r="D20" s="63"/>
      <c r="E20" s="63"/>
      <c r="F20" s="63"/>
      <c r="G20" s="23"/>
      <c r="H20" s="23"/>
      <c r="I20" s="23"/>
      <c r="K20" s="23"/>
      <c r="L20" s="23"/>
    </row>
    <row r="21" spans="1:13" s="64" customFormat="1">
      <c r="A21" s="63" t="s">
        <v>211</v>
      </c>
      <c r="B21" s="63"/>
      <c r="C21" s="63"/>
      <c r="D21" s="63"/>
      <c r="E21" s="63"/>
      <c r="F21" s="63"/>
      <c r="G21" s="23"/>
      <c r="H21" s="23"/>
      <c r="I21" s="23"/>
      <c r="K21" s="23"/>
      <c r="L21" s="23"/>
    </row>
    <row r="22" spans="1:13" s="64" customFormat="1">
      <c r="A22" s="63" t="s">
        <v>212</v>
      </c>
      <c r="B22" s="63"/>
      <c r="C22" s="63"/>
      <c r="D22" s="63"/>
      <c r="E22" s="63"/>
      <c r="F22" s="63"/>
      <c r="G22" s="23"/>
      <c r="H22" s="23"/>
      <c r="I22" s="23"/>
      <c r="K22" s="23"/>
      <c r="L22" s="23"/>
    </row>
    <row r="23" spans="1:13" s="64" customFormat="1">
      <c r="A23" s="63"/>
      <c r="B23" s="63"/>
      <c r="C23" s="63"/>
      <c r="D23" s="63"/>
      <c r="E23" s="63"/>
      <c r="F23" s="63"/>
      <c r="G23" s="23"/>
      <c r="H23" s="23"/>
      <c r="I23" s="23"/>
      <c r="K23" s="23"/>
      <c r="L23" s="23"/>
    </row>
    <row r="24" spans="1:13" s="64" customFormat="1">
      <c r="A24" s="63" t="s">
        <v>213</v>
      </c>
      <c r="B24" s="63"/>
      <c r="C24" s="63"/>
      <c r="D24" s="63"/>
      <c r="E24" s="63"/>
      <c r="F24" s="63"/>
      <c r="G24" s="23"/>
      <c r="H24" s="23"/>
      <c r="I24" s="23"/>
      <c r="K24" s="23"/>
      <c r="L24" s="23"/>
    </row>
    <row r="25" spans="1:13" s="64" customFormat="1">
      <c r="A25" s="63" t="s">
        <v>214</v>
      </c>
      <c r="B25" s="63"/>
      <c r="C25" s="63"/>
      <c r="D25" s="63"/>
      <c r="E25" s="63"/>
      <c r="F25" s="63"/>
      <c r="G25" s="23"/>
      <c r="H25" s="23"/>
      <c r="I25" s="23"/>
      <c r="K25" s="23"/>
      <c r="L25" s="23"/>
    </row>
    <row r="26" spans="1:13" s="64" customFormat="1">
      <c r="A26" s="63"/>
      <c r="B26" s="63"/>
      <c r="C26" s="63"/>
      <c r="D26" s="63"/>
      <c r="E26" s="63"/>
      <c r="F26" s="63"/>
      <c r="G26" s="23"/>
      <c r="H26" s="23"/>
      <c r="I26" s="23"/>
      <c r="K26" s="23"/>
      <c r="L26" s="23"/>
    </row>
    <row r="27" spans="1:13" s="64" customFormat="1">
      <c r="A27" s="63" t="s">
        <v>215</v>
      </c>
      <c r="B27" s="63"/>
      <c r="C27" s="63"/>
      <c r="D27" s="63"/>
      <c r="E27" s="63"/>
      <c r="F27" s="63"/>
      <c r="G27" s="23"/>
      <c r="H27" s="23"/>
      <c r="I27" s="23"/>
      <c r="K27" s="23"/>
      <c r="L27" s="23"/>
    </row>
    <row r="28" spans="1:13" s="64" customFormat="1">
      <c r="A28" s="63" t="s">
        <v>216</v>
      </c>
      <c r="B28" s="63"/>
      <c r="C28" s="63"/>
      <c r="D28" s="63"/>
      <c r="E28" s="63"/>
      <c r="F28" s="63"/>
      <c r="G28" s="23"/>
      <c r="H28" s="23"/>
      <c r="I28" s="23"/>
      <c r="K28" s="23"/>
      <c r="L28" s="23"/>
    </row>
    <row r="29" spans="1:13" s="64" customFormat="1">
      <c r="A29" s="63" t="s">
        <v>217</v>
      </c>
      <c r="B29" s="63"/>
      <c r="C29" s="63"/>
      <c r="D29" s="63"/>
      <c r="E29" s="63"/>
      <c r="F29" s="63"/>
      <c r="G29" s="23"/>
      <c r="H29" s="23"/>
      <c r="I29" s="23"/>
      <c r="K29" s="23"/>
      <c r="L29" s="23"/>
    </row>
    <row r="30" spans="1:13" s="64" customFormat="1">
      <c r="A30" s="23"/>
      <c r="B30" s="61"/>
      <c r="C30" s="23"/>
      <c r="D30" s="47"/>
      <c r="E30" s="63"/>
      <c r="F30" s="63"/>
      <c r="G30" s="23"/>
      <c r="H30" s="23"/>
      <c r="I30" s="23"/>
      <c r="K30" s="23"/>
      <c r="L30" s="23"/>
    </row>
    <row r="31" spans="1:13" s="64" customFormat="1" ht="30.6">
      <c r="A31" s="69" t="s">
        <v>218</v>
      </c>
      <c r="B31" s="62" t="s">
        <v>169</v>
      </c>
      <c r="C31" s="63"/>
      <c r="D31" s="63"/>
      <c r="E31" s="23"/>
      <c r="F31" s="23"/>
      <c r="G31" s="23"/>
      <c r="H31" s="63"/>
      <c r="I31" s="63"/>
      <c r="J31" s="63"/>
      <c r="K31" s="63"/>
      <c r="L31" s="63"/>
      <c r="M31" s="63"/>
    </row>
    <row r="32" spans="1:13" s="64" customFormat="1">
      <c r="A32" s="63"/>
      <c r="B32" s="70">
        <v>0.01</v>
      </c>
      <c r="C32" s="70">
        <v>0.05</v>
      </c>
      <c r="D32" s="70">
        <v>0.1</v>
      </c>
      <c r="E32" s="63"/>
      <c r="F32" s="63"/>
      <c r="G32" s="63"/>
      <c r="H32" s="70">
        <v>0.9</v>
      </c>
      <c r="I32" s="70">
        <v>0.95</v>
      </c>
      <c r="J32" s="70">
        <v>0.99</v>
      </c>
      <c r="K32" s="70">
        <v>0.9</v>
      </c>
      <c r="L32" s="70">
        <v>0.95</v>
      </c>
      <c r="M32" s="70">
        <v>0.99</v>
      </c>
    </row>
    <row r="33" spans="1:13" s="64" customFormat="1">
      <c r="A33" s="63" t="s">
        <v>170</v>
      </c>
      <c r="B33" s="63">
        <v>5.0999999999999996</v>
      </c>
      <c r="C33" s="63">
        <v>10.5</v>
      </c>
      <c r="D33" s="63">
        <v>12.7</v>
      </c>
      <c r="E33" s="70">
        <v>0.25</v>
      </c>
      <c r="F33" s="70">
        <v>0.5</v>
      </c>
      <c r="G33" s="70">
        <v>0.75</v>
      </c>
      <c r="H33" s="63">
        <v>62.7</v>
      </c>
      <c r="I33" s="63">
        <v>78.2</v>
      </c>
      <c r="J33" s="63">
        <v>95.9</v>
      </c>
      <c r="K33" s="63">
        <v>62.7</v>
      </c>
      <c r="L33" s="63">
        <v>78.2</v>
      </c>
      <c r="M33" s="63">
        <v>95.9</v>
      </c>
    </row>
    <row r="34" spans="1:13" s="64" customFormat="1">
      <c r="A34" s="63" t="s">
        <v>171</v>
      </c>
      <c r="B34" s="63">
        <v>319</v>
      </c>
      <c r="C34" s="63">
        <v>655</v>
      </c>
      <c r="D34" s="63">
        <v>792</v>
      </c>
      <c r="E34" s="63">
        <v>20.100000000000001</v>
      </c>
      <c r="F34" s="63">
        <v>31.1</v>
      </c>
      <c r="G34" s="63">
        <v>47.4</v>
      </c>
      <c r="H34" s="71">
        <v>3916</v>
      </c>
      <c r="I34" s="71">
        <v>4885</v>
      </c>
      <c r="J34" s="71">
        <v>5994</v>
      </c>
      <c r="K34" s="71">
        <v>3916</v>
      </c>
      <c r="L34" s="71">
        <v>4885</v>
      </c>
      <c r="M34" s="71">
        <v>5994</v>
      </c>
    </row>
    <row r="35" spans="1:13" s="64" customFormat="1">
      <c r="A35" s="63"/>
      <c r="B35" s="63"/>
      <c r="C35" s="63"/>
      <c r="D35" s="63"/>
      <c r="E35" s="71">
        <v>1254</v>
      </c>
      <c r="F35" s="71">
        <v>1941</v>
      </c>
      <c r="G35" s="71">
        <v>2965</v>
      </c>
      <c r="H35" s="63"/>
      <c r="I35" s="63"/>
      <c r="J35" s="63"/>
      <c r="K35" s="63"/>
      <c r="L35" s="63"/>
      <c r="M35" s="63"/>
    </row>
    <row r="36" spans="1:13" s="64" customFormat="1">
      <c r="A36" s="63" t="s">
        <v>219</v>
      </c>
      <c r="B36" s="63"/>
      <c r="C36" s="63"/>
      <c r="D36" s="63"/>
      <c r="E36" s="63"/>
      <c r="F36" s="63"/>
      <c r="G36" s="63"/>
      <c r="H36" s="63"/>
      <c r="I36" s="63"/>
      <c r="J36" s="63"/>
      <c r="K36" s="63"/>
      <c r="L36" s="63"/>
      <c r="M36" s="63"/>
    </row>
    <row r="37" spans="1:13" s="64" customFormat="1">
      <c r="A37" s="23"/>
      <c r="B37" s="61"/>
      <c r="C37" s="23"/>
      <c r="D37" s="47"/>
      <c r="E37" s="63"/>
      <c r="F37" s="63"/>
      <c r="G37" s="63"/>
      <c r="H37" s="23"/>
      <c r="I37" s="23"/>
    </row>
    <row r="38" spans="1:13" s="64" customFormat="1">
      <c r="A38" s="23"/>
      <c r="B38" s="61"/>
      <c r="C38" s="23"/>
      <c r="D38" s="47"/>
      <c r="E38" s="23"/>
      <c r="F38" s="23"/>
      <c r="G38" s="23"/>
      <c r="H38" s="23"/>
      <c r="I38" s="23"/>
    </row>
    <row r="39" spans="1:13" s="64" customFormat="1">
      <c r="A39" s="23"/>
      <c r="B39" s="61"/>
      <c r="C39" s="23"/>
      <c r="D39" s="47"/>
      <c r="E39" s="23"/>
      <c r="F39" s="23"/>
      <c r="G39" s="23"/>
      <c r="H39" s="23"/>
      <c r="I39" s="23"/>
    </row>
    <row r="40" spans="1:13" s="64" customFormat="1">
      <c r="A40" s="23"/>
      <c r="B40" s="61"/>
      <c r="C40" s="23"/>
      <c r="D40" s="47"/>
      <c r="E40" s="23"/>
      <c r="F40" s="23"/>
      <c r="G40" s="23"/>
      <c r="H40" s="23"/>
      <c r="I40" s="23"/>
    </row>
    <row r="41" spans="1:13" s="64" customFormat="1">
      <c r="A41" s="23"/>
      <c r="B41" s="61"/>
      <c r="C41" s="23"/>
      <c r="D41" s="47"/>
      <c r="E41" s="23"/>
      <c r="F41" s="23"/>
      <c r="G41" s="23"/>
      <c r="H41" s="23"/>
      <c r="I41" s="23"/>
    </row>
    <row r="42" spans="1:13" s="64" customFormat="1">
      <c r="A42" s="23"/>
      <c r="B42" s="61"/>
      <c r="C42" s="23"/>
      <c r="D42" s="47"/>
      <c r="E42" s="23"/>
      <c r="F42" s="23"/>
      <c r="G42" s="23"/>
      <c r="H42" s="23"/>
      <c r="I42" s="23"/>
    </row>
  </sheetData>
  <autoFilter ref="A1:I7" xr:uid="{8E9D7E18-A9B3-4191-9DBB-B80908E44EFC}">
    <sortState xmlns:xlrd2="http://schemas.microsoft.com/office/spreadsheetml/2017/richdata2" ref="A2:I7">
      <sortCondition ref="E1:E7"/>
    </sortState>
  </autoFilter>
  <phoneticPr fontId="18" type="noConversion"/>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2021-02-01T18:55:57+00:00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Records_x0020_Date xmlns="fa10c853-7380-483e-9cde-87121eb12400" xsi:nil="true"/>
    <Records_x0020_Status xmlns="fa10c853-7380-483e-9cde-87121eb12400">Pending</Records_x0020_Status>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29f62856-1543-49d4-a736-4569d363f533"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C368CD07C23C7F48BB073D9900DBE3C3" ma:contentTypeVersion="38" ma:contentTypeDescription="Create a new document." ma:contentTypeScope="" ma:versionID="346f4255d8da54c588f0325f36ac75af">
  <xsd:schema xmlns:xsd="http://www.w3.org/2001/XMLSchema" xmlns:xs="http://www.w3.org/2001/XMLSchema" xmlns:p="http://schemas.microsoft.com/office/2006/metadata/properties" xmlns:ns1="http://schemas.microsoft.com/sharepoint/v3" xmlns:ns3="4ffa91fb-a0ff-4ac5-b2db-65c790d184a4" xmlns:ns4="http://schemas.microsoft.com/sharepoint.v3" xmlns:ns5="http://schemas.microsoft.com/sharepoint/v3/fields" xmlns:ns6="fa10c853-7380-483e-9cde-87121eb12400" xmlns:ns7="c0062c66-58a7-410b-b2fe-c97c2455b106" targetNamespace="http://schemas.microsoft.com/office/2006/metadata/properties" ma:root="true" ma:fieldsID="012d89c7f8d8f48d1168e4c2acd00445" ns1:_="" ns3:_="" ns4:_="" ns5:_="" ns6:_="" ns7:_="">
    <xsd:import namespace="http://schemas.microsoft.com/sharepoint/v3"/>
    <xsd:import namespace="4ffa91fb-a0ff-4ac5-b2db-65c790d184a4"/>
    <xsd:import namespace="http://schemas.microsoft.com/sharepoint.v3"/>
    <xsd:import namespace="http://schemas.microsoft.com/sharepoint/v3/fields"/>
    <xsd:import namespace="fa10c853-7380-483e-9cde-87121eb12400"/>
    <xsd:import namespace="c0062c66-58a7-410b-b2fe-c97c2455b106"/>
    <xsd:element name="properties">
      <xsd:complexType>
        <xsd:sequence>
          <xsd:element name="documentManagement">
            <xsd:complexType>
              <xsd:all>
                <xsd:element ref="ns3:Document_x0020_Creation_x0020_Date" minOccurs="0"/>
                <xsd:element ref="ns3:Creator" minOccurs="0"/>
                <xsd:element ref="ns3:EPA_x0020_Office" minOccurs="0"/>
                <xsd:element ref="ns3:Record" minOccurs="0"/>
                <xsd:element ref="ns4:CategoryDescription" minOccurs="0"/>
                <xsd:element ref="ns3:Identifier" minOccurs="0"/>
                <xsd:element ref="ns3:EPA_x0020_Contributor" minOccurs="0"/>
                <xsd:element ref="ns3:External_x0020_Contributor" minOccurs="0"/>
                <xsd:element ref="ns5:_Coverage" minOccurs="0"/>
                <xsd:element ref="ns3:EPA_x0020_Related_x0020_Documents" minOccurs="0"/>
                <xsd:element ref="ns5:_Source" minOccurs="0"/>
                <xsd:element ref="ns3:Rights" minOccurs="0"/>
                <xsd:element ref="ns1:Language" minOccurs="0"/>
                <xsd:element ref="ns3:j747ac98061d40f0aa7bd47e1db5675d" minOccurs="0"/>
                <xsd:element ref="ns3:TaxKeywordTaxHTField" minOccurs="0"/>
                <xsd:element ref="ns3:TaxCatchAllLabel" minOccurs="0"/>
                <xsd:element ref="ns3:TaxCatchAll" minOccurs="0"/>
                <xsd:element ref="ns6:SharedWithUsers" minOccurs="0"/>
                <xsd:element ref="ns6:SharedWithDetails" minOccurs="0"/>
                <xsd:element ref="ns6:SharingHintHash" minOccurs="0"/>
                <xsd:element ref="ns6:LastSharedByUser" minOccurs="0"/>
                <xsd:element ref="ns6:LastSharedByTime" minOccurs="0"/>
                <xsd:element ref="ns7:MediaServiceMetadata" minOccurs="0"/>
                <xsd:element ref="ns7:MediaServiceFastMetadata" minOccurs="0"/>
                <xsd:element ref="ns6:Records_x0020_Status" minOccurs="0"/>
                <xsd:element ref="ns6:Records_x0020_Date" minOccurs="0"/>
                <xsd:element ref="ns7:MediaServiceEventHashCode" minOccurs="0"/>
                <xsd:element ref="ns7:MediaServiceGenerationTime" minOccurs="0"/>
                <xsd:element ref="ns7:MediaServiceAutoTags" minOccurs="0"/>
                <xsd:element ref="ns7:MediaServiceOCR" minOccurs="0"/>
                <xsd:element ref="ns7:MediaServiceDateTaken" minOccurs="0"/>
                <xsd:element ref="ns7:MediaServiceLocation" minOccurs="0"/>
                <xsd:element ref="ns1:_ip_UnifiedCompliancePolicyProperties" minOccurs="0"/>
                <xsd:element ref="ns1:_ip_UnifiedCompliancePolicyUIAction" minOccurs="0"/>
                <xsd:element ref="ns7:MediaServiceAutoKeyPoints" minOccurs="0"/>
                <xsd:element ref="ns7: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43" nillable="true" ma:displayName="Unified Compliance Policy Properties" ma:hidden="true" ma:internalName="_ip_UnifiedCompliancePolicyProperties">
      <xsd:simpleType>
        <xsd:restriction base="dms:Note"/>
      </xsd:simpleType>
    </xsd:element>
    <xsd:element name="_ip_UnifiedCompliancePolicyUIAction" ma:index="4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59798bbe-e26c-44a2-923f-7091ec7589de}" ma:internalName="TaxCatchAllLabel" ma:readOnly="true" ma:showField="CatchAllDataLabel" ma:web="fa10c853-7380-483e-9cde-87121eb12400">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59798bbe-e26c-44a2-923f-7091ec7589de}" ma:internalName="TaxCatchAll" ma:showField="CatchAllData" ma:web="fa10c853-7380-483e-9cde-87121eb1240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10c853-7380-483e-9cde-87121eb12400" elementFormDefault="qualified">
    <xsd:import namespace="http://schemas.microsoft.com/office/2006/documentManagement/types"/>
    <xsd:import namespace="http://schemas.microsoft.com/office/infopath/2007/PartnerControls"/>
    <xsd:element name="SharedWithUsers" ma:index="2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9" nillable="true" ma:displayName="Shared With Details" ma:description="" ma:internalName="SharedWithDetails" ma:readOnly="true">
      <xsd:simpleType>
        <xsd:restriction base="dms:Note">
          <xsd:maxLength value="255"/>
        </xsd:restriction>
      </xsd:simpleType>
    </xsd:element>
    <xsd:element name="SharingHintHash" ma:index="30" nillable="true" ma:displayName="Sharing Hint Hash" ma:description="" ma:hidden="true" ma:internalName="SharingHintHash" ma:readOnly="true">
      <xsd:simpleType>
        <xsd:restriction base="dms:Text"/>
      </xsd:simpleType>
    </xsd:element>
    <xsd:element name="LastSharedByUser" ma:index="31" nillable="true" ma:displayName="Last Shared By User" ma:description="" ma:internalName="LastSharedByUser" ma:readOnly="true">
      <xsd:simpleType>
        <xsd:restriction base="dms:Note">
          <xsd:maxLength value="255"/>
        </xsd:restriction>
      </xsd:simpleType>
    </xsd:element>
    <xsd:element name="LastSharedByTime" ma:index="32" nillable="true" ma:displayName="Last Shared By Time" ma:description="" ma:internalName="LastSharedByTime" ma:readOnly="true">
      <xsd:simpleType>
        <xsd:restriction base="dms:DateTime"/>
      </xsd:simpleType>
    </xsd:element>
    <xsd:element name="Records_x0020_Status" ma:index="35" nillable="true" ma:displayName="Records Status" ma:default="Pending" ma:internalName="Records_x0020_Status">
      <xsd:simpleType>
        <xsd:restriction base="dms:Text"/>
      </xsd:simpleType>
    </xsd:element>
    <xsd:element name="Records_x0020_Date" ma:index="36" nillable="true" ma:displayName="Records Date" ma:hidden="true" ma:internalName="Records_x0020_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0062c66-58a7-410b-b2fe-c97c2455b106" elementFormDefault="qualified">
    <xsd:import namespace="http://schemas.microsoft.com/office/2006/documentManagement/types"/>
    <xsd:import namespace="http://schemas.microsoft.com/office/infopath/2007/PartnerControls"/>
    <xsd:element name="MediaServiceMetadata" ma:index="33" nillable="true" ma:displayName="MediaServiceMetadata" ma:description="" ma:hidden="true" ma:internalName="MediaServiceMetadata" ma:readOnly="true">
      <xsd:simpleType>
        <xsd:restriction base="dms:Note"/>
      </xsd:simpleType>
    </xsd:element>
    <xsd:element name="MediaServiceFastMetadata" ma:index="34" nillable="true" ma:displayName="MediaServiceFastMetadata" ma:description="" ma:hidden="true" ma:internalName="MediaServiceFastMetadata" ma:readOnly="true">
      <xsd:simpleType>
        <xsd:restriction base="dms:Note"/>
      </xsd:simpleType>
    </xsd:element>
    <xsd:element name="MediaServiceEventHashCode" ma:index="37" nillable="true" ma:displayName="MediaServiceEventHashCode" ma:hidden="true" ma:internalName="MediaServiceEventHashCode" ma:readOnly="true">
      <xsd:simpleType>
        <xsd:restriction base="dms:Text"/>
      </xsd:simpleType>
    </xsd:element>
    <xsd:element name="MediaServiceGenerationTime" ma:index="38" nillable="true" ma:displayName="MediaServiceGenerationTime" ma:hidden="true" ma:internalName="MediaServiceGenerationTime" ma:readOnly="true">
      <xsd:simpleType>
        <xsd:restriction base="dms:Text"/>
      </xsd:simpleType>
    </xsd:element>
    <xsd:element name="MediaServiceAutoTags" ma:index="39" nillable="true" ma:displayName="Tags" ma:internalName="MediaServiceAutoTags" ma:readOnly="true">
      <xsd:simpleType>
        <xsd:restriction base="dms:Text"/>
      </xsd:simpleType>
    </xsd:element>
    <xsd:element name="MediaServiceOCR" ma:index="40" nillable="true" ma:displayName="Extracted Text" ma:internalName="MediaServiceOCR" ma:readOnly="true">
      <xsd:simpleType>
        <xsd:restriction base="dms:Note">
          <xsd:maxLength value="255"/>
        </xsd:restriction>
      </xsd:simpleType>
    </xsd:element>
    <xsd:element name="MediaServiceDateTaken" ma:index="41" nillable="true" ma:displayName="MediaServiceDateTaken" ma:hidden="true" ma:internalName="MediaServiceDateTaken" ma:readOnly="true">
      <xsd:simpleType>
        <xsd:restriction base="dms:Text"/>
      </xsd:simpleType>
    </xsd:element>
    <xsd:element name="MediaServiceLocation" ma:index="42" nillable="true" ma:displayName="Location" ma:internalName="MediaServiceLocation" ma:readOnly="true">
      <xsd:simpleType>
        <xsd:restriction base="dms:Text"/>
      </xsd:simpleType>
    </xsd:element>
    <xsd:element name="MediaServiceAutoKeyPoints" ma:index="45" nillable="true" ma:displayName="MediaServiceAutoKeyPoints" ma:hidden="true" ma:internalName="MediaServiceAutoKeyPoints" ma:readOnly="true">
      <xsd:simpleType>
        <xsd:restriction base="dms:Note"/>
      </xsd:simpleType>
    </xsd:element>
    <xsd:element name="MediaServiceKeyPoints" ma:index="46"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09D1952-365A-4DA3-B639-C264BB2AD716}"/>
</file>

<file path=customXml/itemProps2.xml><?xml version="1.0" encoding="utf-8"?>
<ds:datastoreItem xmlns:ds="http://schemas.openxmlformats.org/officeDocument/2006/customXml" ds:itemID="{1DC9C541-F991-4D9B-BA18-A6AB1CA3321D}"/>
</file>

<file path=customXml/itemProps3.xml><?xml version="1.0" encoding="utf-8"?>
<ds:datastoreItem xmlns:ds="http://schemas.openxmlformats.org/officeDocument/2006/customXml" ds:itemID="{2B8E39CD-5239-47AA-AE47-6A46D7FE96E4}"/>
</file>

<file path=customXml/itemProps4.xml><?xml version="1.0" encoding="utf-8"?>
<ds:datastoreItem xmlns:ds="http://schemas.openxmlformats.org/officeDocument/2006/customXml" ds:itemID="{C9313811-5C2E-42F0-A255-23068F2066A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Gift, Jeff</dc:creator>
  <cp:keywords/>
  <dc:description/>
  <cp:lastModifiedBy>Davis, Allen</cp:lastModifiedBy>
  <cp:revision/>
  <dcterms:created xsi:type="dcterms:W3CDTF">2021-02-01T18:54:49Z</dcterms:created>
  <dcterms:modified xsi:type="dcterms:W3CDTF">2024-09-23T18:45:33Z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0x010100C368CD07C23C7F48BB073D9900DBE3C3</vt:lpwstr>
  </property>
</Properties>
</file>